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tabRatio="689" activeTab="7"/>
  </bookViews>
  <sheets>
    <sheet name="ZAŁ 1" sheetId="1" r:id="rId1"/>
    <sheet name="ZAŁ 2" sheetId="2" r:id="rId2"/>
    <sheet name="ZAŁ 3" sheetId="3" r:id="rId3"/>
    <sheet name="ZAŁ 4" sheetId="4" r:id="rId4"/>
    <sheet name="ZAŁ 5" sheetId="5" r:id="rId5"/>
    <sheet name="ZAŁ 6" sheetId="6" r:id="rId6"/>
    <sheet name="ZAŁ 7" sheetId="7" r:id="rId7"/>
    <sheet name="ZAŁ 8" sheetId="8" r:id="rId8"/>
    <sheet name="ZAŁ 9" sheetId="9" r:id="rId9"/>
  </sheets>
  <definedNames>
    <definedName name="_xlnm.Print_Area" localSheetId="1">'ZAŁ 2'!$A$1:$M$34</definedName>
    <definedName name="_xlnm.Print_Area" localSheetId="3">'ZAŁ 4'!$A$1:$H$37</definedName>
    <definedName name="_xlnm.Print_Area" localSheetId="4">'ZAŁ 5'!$A$1:$H$49</definedName>
    <definedName name="_xlnm.Print_Area" localSheetId="7">'ZAŁ 8'!$A$1:$F$55</definedName>
    <definedName name="_xlnm.Print_Area" localSheetId="8">'ZAŁ 9'!$A$1:$K$43</definedName>
  </definedNames>
  <calcPr fullCalcOnLoad="1"/>
</workbook>
</file>

<file path=xl/sharedStrings.xml><?xml version="1.0" encoding="utf-8"?>
<sst xmlns="http://schemas.openxmlformats.org/spreadsheetml/2006/main" count="1325" uniqueCount="428">
  <si>
    <t>w tym osoby w wieku 15-24/ 15-30 lata**</t>
  </si>
  <si>
    <r>
      <t>Kolumna 1</t>
    </r>
    <r>
      <rPr>
        <sz val="10"/>
        <rFont val="Arial"/>
        <family val="2"/>
      </rPr>
      <t xml:space="preserve"> - należy podać nr Działania, w ramach którego została udzielona pomoc publiczna.
</t>
    </r>
    <r>
      <rPr>
        <i/>
        <sz val="10"/>
        <rFont val="Arial"/>
        <family val="2"/>
      </rPr>
      <t xml:space="preserve">Kolumna 2 - </t>
    </r>
    <r>
      <rPr>
        <sz val="10"/>
        <rFont val="Arial"/>
        <family val="2"/>
      </rPr>
      <t>należy podać liczbę projektów MŚP objętych pomocą publiczną oraz pomocą de minimis, dla których dotychczas zostały zawarte umowy/wydane decyzje o dofinansowaniu</t>
    </r>
    <r>
      <rPr>
        <i/>
        <sz val="10"/>
        <rFont val="Arial"/>
        <family val="2"/>
      </rPr>
      <t xml:space="preserve">
Kolumna 3 - </t>
    </r>
    <r>
      <rPr>
        <sz val="10"/>
        <rFont val="Arial"/>
        <family val="2"/>
      </rPr>
      <t>należy podać liczbę projektów MŚP objętych pomocą publiczną oraz pomocą de minimis, dla których dotychczas zatwierdzony został co najmniej jeden wniosek o płatność.</t>
    </r>
    <r>
      <rPr>
        <i/>
        <sz val="10"/>
        <rFont val="Arial"/>
        <family val="2"/>
      </rPr>
      <t xml:space="preserve">
Kolumna 4 - </t>
    </r>
    <r>
      <rPr>
        <sz val="10"/>
        <rFont val="Arial"/>
        <family val="2"/>
      </rPr>
      <t>należy podać całkowitą wartość projektów MŚP wskazanych w kol. 2.</t>
    </r>
    <r>
      <rPr>
        <i/>
        <sz val="10"/>
        <rFont val="Arial"/>
        <family val="2"/>
      </rPr>
      <t xml:space="preserve">
Kolumna 5 -</t>
    </r>
    <r>
      <rPr>
        <sz val="10"/>
        <rFont val="Arial"/>
        <family val="2"/>
      </rPr>
      <t xml:space="preserve"> należy podać całkowitą wartość wydatków kwalifikowalnych w ramach projektów MŚP wynikających z zatwierdzonych wniosków o płatność wskazanych w kolumnie 3.</t>
    </r>
    <r>
      <rPr>
        <i/>
        <sz val="10"/>
        <rFont val="Arial"/>
        <family val="2"/>
      </rPr>
      <t xml:space="preserve">
Kolumna 6 - </t>
    </r>
    <r>
      <rPr>
        <sz val="10"/>
        <rFont val="Arial"/>
        <family val="2"/>
      </rPr>
      <t>w odniesieniu do kolumny 5 należy wyodrębnić tę część wydatków kwalifikowalnych w ramach projektów MŚP, które dotyczą pomocy publicznej oraz pomocy de minimis</t>
    </r>
    <r>
      <rPr>
        <i/>
        <sz val="10"/>
        <rFont val="Arial"/>
        <family val="2"/>
      </rPr>
      <t xml:space="preserve">
Kolumny 7, 8 i 9 - </t>
    </r>
    <r>
      <rPr>
        <sz val="10"/>
        <rFont val="Arial"/>
        <family val="2"/>
      </rPr>
      <t xml:space="preserve">należy podać całkowitą kwotę środków zakwalifikowanych jako pomoc publiczna i pomoc de minimis na podstawie zatwierdzonych wniosków o płatność w poszczególnych 
kategoriach wielkości przedsiębiorstwa (tj. mikro, małych i średnich przedsiębiorstwach zdefiniowanych zgodnie z Zasadami udzielania pomocy publicznej w ramach PO KL)
</t>
    </r>
    <r>
      <rPr>
        <i/>
        <sz val="10"/>
        <rFont val="Arial"/>
        <family val="2"/>
      </rPr>
      <t>Kolumny 5-9</t>
    </r>
    <r>
      <rPr>
        <sz val="10"/>
        <rFont val="Arial"/>
        <family val="2"/>
      </rPr>
      <t xml:space="preserve"> - wartości należy odpowiednio pomniejszyć o kwoty odzyskane/kwoty wycofane w module </t>
    </r>
    <r>
      <rPr>
        <i/>
        <sz val="10"/>
        <rFont val="Arial"/>
        <family val="2"/>
      </rPr>
      <t xml:space="preserve">Rejestracja obciążeń na projekcie. </t>
    </r>
    <r>
      <rPr>
        <sz val="10"/>
        <rFont val="Arial"/>
        <family val="2"/>
      </rPr>
      <t>Nie należy uwzględniać wkładu prywatnego.</t>
    </r>
    <r>
      <rPr>
        <i/>
        <sz val="10"/>
        <rFont val="Arial"/>
        <family val="2"/>
      </rPr>
      <t xml:space="preserve">
</t>
    </r>
    <r>
      <rPr>
        <sz val="10"/>
        <rFont val="Arial"/>
        <family val="2"/>
      </rPr>
      <t xml:space="preserve">Rejestrując w systemie KSI kwoty odzyskane lub wycofane, należy jednocześnie, w module </t>
    </r>
    <r>
      <rPr>
        <i/>
        <sz val="10"/>
        <rFont val="Arial"/>
        <family val="2"/>
      </rPr>
      <t>Wnioski o płatnoś</t>
    </r>
    <r>
      <rPr>
        <sz val="10"/>
        <rFont val="Arial"/>
        <family val="2"/>
      </rPr>
      <t xml:space="preserve">ć, dodać korektę, która powinna obejmować co najmniej źródła, z których
został sfinansowany wydatek niekwalifikowalny. Jeżeli dodatkowo wydatek ten dotyczył pomocy publicznej, w ramach wspomnianej korekty należy również ująć odpowiednią wartość (na minus) 
w polu „w części objętej pomocą publiczną”. W związku z powyższym, kwoty wykazywane w tabeli należy pomniejszyć o wszelkie zwroty ujęte w KSI SIMIK 07-13 w module </t>
    </r>
    <r>
      <rPr>
        <i/>
        <sz val="10"/>
        <rFont val="Arial"/>
        <family val="2"/>
      </rPr>
      <t xml:space="preserve">Rejestr obciążeń na 
projekcie </t>
    </r>
    <r>
      <rPr>
        <sz val="10"/>
        <rFont val="Arial"/>
        <family val="2"/>
      </rPr>
      <t xml:space="preserve">w części dotyczącej pomocy publicznej. Do zwrotów tych każdorazowo powinny być wprowadzane korekty w module </t>
    </r>
    <r>
      <rPr>
        <i/>
        <sz val="10"/>
        <rFont val="Arial"/>
        <family val="2"/>
      </rPr>
      <t xml:space="preserve">Wnioski o płatność </t>
    </r>
    <r>
      <rPr>
        <sz val="10"/>
        <rFont val="Arial"/>
        <family val="2"/>
      </rPr>
      <t>korygujące wartość pomocy publicznej udzielonej 
w ramach projektu.</t>
    </r>
  </si>
  <si>
    <r>
      <t xml:space="preserve">Należy uwzględnić osoby, które otrzymały jednorazowe środki na podjęcie działalności gospodarczej w ramach Poddziałania 6.1.3, Działania 6.2 i  Poddziałania 8.1.2 oraz </t>
    </r>
    <r>
      <rPr>
        <sz val="10"/>
        <rFont val="Arial"/>
        <family val="2"/>
      </rPr>
      <t>spółdzielnie socjalne utworzone w ramach Poddziałania 7.2.2 (środki na założenie spółdzielni, przystąpienie oraz zatrudnienie w spółdzielni).</t>
    </r>
  </si>
  <si>
    <r>
      <t xml:space="preserve">Kolumna 1 </t>
    </r>
    <r>
      <rPr>
        <sz val="10"/>
        <rFont val="Arial"/>
        <family val="2"/>
      </rPr>
      <t xml:space="preserve">- należy podać nr Działania, w ramach którego została udzielona pomoc publiczna.
</t>
    </r>
    <r>
      <rPr>
        <i/>
        <sz val="10"/>
        <rFont val="Arial"/>
        <family val="2"/>
      </rPr>
      <t>Kolumna 2</t>
    </r>
    <r>
      <rPr>
        <sz val="10"/>
        <rFont val="Arial"/>
        <family val="2"/>
      </rPr>
      <t xml:space="preserve"> - należy podać nazwę programu pomocowego lub innej podstawy udzielania pomocy (akta prawa krajowego, akta prawa wspólnotowego, wytyczne, etc.). Dla działania należy wykazać wszystkie odpowiednie podstawy udzielenia pomocy. Jeżeli program pomocowy (lub inna podstawa udzielenia pomocy) odnosi się do więcej niż jednego działania, należy wykazać go odpowiednio we wszystkich właściwych działaniach.
</t>
    </r>
    <r>
      <rPr>
        <i/>
        <sz val="10"/>
        <rFont val="Arial"/>
        <family val="2"/>
      </rPr>
      <t xml:space="preserve">Kolumna 3 - </t>
    </r>
    <r>
      <rPr>
        <sz val="10"/>
        <rFont val="Arial"/>
        <family val="2"/>
      </rPr>
      <t>należy podać liczbę projektów objętych pomocą publiczną oraz pomocą de minimis, dla których dotychczas zostały zawarte umowy/ wydane decyzje o dofinanoswaniu.</t>
    </r>
    <r>
      <rPr>
        <i/>
        <sz val="10"/>
        <rFont val="Arial"/>
        <family val="2"/>
      </rPr>
      <t xml:space="preserve">
Kolumna 4 - </t>
    </r>
    <r>
      <rPr>
        <sz val="10"/>
        <rFont val="Arial"/>
        <family val="2"/>
      </rPr>
      <t>należy podać liczbę projektów objętych pomocą publiczną oraz pomocą de minimis, dla których dotychczas zatwierdzony został co najmniej jednen wniosek o płatność.</t>
    </r>
    <r>
      <rPr>
        <i/>
        <sz val="10"/>
        <rFont val="Arial"/>
        <family val="2"/>
      </rPr>
      <t xml:space="preserve">
Kolumna 5 - </t>
    </r>
    <r>
      <rPr>
        <sz val="10"/>
        <rFont val="Arial"/>
        <family val="2"/>
      </rPr>
      <t>należy podać całkowitą wartość umów wskazanych w kol. 3.</t>
    </r>
    <r>
      <rPr>
        <i/>
        <sz val="10"/>
        <rFont val="Arial"/>
        <family val="2"/>
      </rPr>
      <t xml:space="preserve">
Kolumna 6 -</t>
    </r>
    <r>
      <rPr>
        <sz val="10"/>
        <rFont val="Arial"/>
        <family val="2"/>
      </rPr>
      <t xml:space="preserve"> należy podać całkowitą wartość wydatków kwalifikowalnych wynikających z zatwierdzonych wniosków o płatność dla projektów wskazanych w kolumnie 4.</t>
    </r>
    <r>
      <rPr>
        <i/>
        <sz val="10"/>
        <rFont val="Arial"/>
        <family val="2"/>
      </rPr>
      <t xml:space="preserve">
Kolumna 7 - </t>
    </r>
    <r>
      <rPr>
        <sz val="10"/>
        <rFont val="Arial"/>
        <family val="2"/>
      </rPr>
      <t xml:space="preserve">w odniesieniu do kol. 6 należy wyodrębnić tę część wydatków kwalifikowalnych, które dotyczą pomocy publicznej oraz pomocy de minimis
</t>
    </r>
    <r>
      <rPr>
        <i/>
        <sz val="10"/>
        <rFont val="Arial"/>
        <family val="2"/>
      </rPr>
      <t>Kolumny 6-7</t>
    </r>
    <r>
      <rPr>
        <sz val="10"/>
        <rFont val="Arial"/>
        <family val="2"/>
      </rPr>
      <t xml:space="preserve"> - wartości należy odpowiednio pomniejszyć o kwoty odzyskane/kwoty wycofane w module </t>
    </r>
    <r>
      <rPr>
        <i/>
        <sz val="10"/>
        <rFont val="Arial"/>
        <family val="2"/>
      </rPr>
      <t xml:space="preserve">Rejestracja obciążeń na projekcie. Nie należy uwzględniać wkładu prywatnego.
</t>
    </r>
    <r>
      <rPr>
        <sz val="10"/>
        <rFont val="Arial"/>
        <family val="2"/>
      </rPr>
      <t xml:space="preserve">Rejestrując w systemie KSI kwoty odzyskane lub wycofane, należy jednocześnie, w module </t>
    </r>
    <r>
      <rPr>
        <i/>
        <sz val="10"/>
        <rFont val="Arial"/>
        <family val="2"/>
      </rPr>
      <t>Wnioski o płatność</t>
    </r>
    <r>
      <rPr>
        <sz val="10"/>
        <rFont val="Arial"/>
        <family val="2"/>
      </rPr>
      <t xml:space="preserve">, dodać korektę, która powinna obejmować co najmniej źródła, z których został 
sfinansowany wydatek niekwalifikowalny. Jeżeli dodatkowo wydatek ten dotyczył pomocy publicznej, w ramach wspomnianej korekty należy również ująć odpowiednią wartość (na minus) 
w polu „w części objętej pomocą publiczną”. W związku z powyższym, kwoty wykazywane w tabeli należy pomniejszyć o wszelkie zwroty ujęte w KSI SIMIK 07-13 w module </t>
    </r>
    <r>
      <rPr>
        <i/>
        <sz val="10"/>
        <rFont val="Arial"/>
        <family val="2"/>
      </rPr>
      <t>Rejestr obciążeń 
na projekcie</t>
    </r>
    <r>
      <rPr>
        <sz val="10"/>
        <rFont val="Arial"/>
        <family val="2"/>
      </rPr>
      <t xml:space="preserve"> w części dotyczącej pomocy publicznej. Do zwrotów tych każdorazowo powinny być wprowadzane korekty w module </t>
    </r>
    <r>
      <rPr>
        <i/>
        <sz val="10"/>
        <rFont val="Arial"/>
        <family val="2"/>
      </rPr>
      <t>Wnioski o płatność</t>
    </r>
    <r>
      <rPr>
        <sz val="10"/>
        <rFont val="Arial"/>
        <family val="2"/>
      </rPr>
      <t xml:space="preserve"> korygujące wartość pomocy publicznej 
udzielonej w ramach projektu.</t>
    </r>
  </si>
  <si>
    <t>* nie dot. osób, które otrzymały jednorazowe środki na podjęcie działalności gospodarczej w ramach Poddziałania 6.1.3, Działania 6.2 i Poddziałania 8.1.2. oraz spółdzielni socjalnych utworzonych w ramach projektu w Poddziałaniu 7.2.2.</t>
  </si>
  <si>
    <r>
      <t xml:space="preserve">Wartość udzielonej pomocy publicznej oraz pomocy </t>
    </r>
    <r>
      <rPr>
        <b/>
        <i/>
        <sz val="10"/>
        <rFont val="Arial"/>
        <family val="2"/>
      </rPr>
      <t xml:space="preserve">de minimis </t>
    </r>
    <r>
      <rPr>
        <sz val="10"/>
        <rFont val="Arial"/>
        <family val="2"/>
      </rPr>
      <t xml:space="preserve">- wartość środków stanowiących pomoc publiczną oraz pomoc </t>
    </r>
    <r>
      <rPr>
        <i/>
        <sz val="10"/>
        <rFont val="Arial"/>
        <family val="2"/>
      </rPr>
      <t>de minimis</t>
    </r>
    <r>
      <rPr>
        <sz val="10"/>
        <rFont val="Arial"/>
        <family val="2"/>
      </rPr>
      <t xml:space="preserve"> w ramach podpisanych w Programie umów/ decyzji o dofinansowanie realizacji projektów.
</t>
    </r>
    <r>
      <rPr>
        <b/>
        <sz val="10"/>
        <rFont val="Arial"/>
        <family val="2"/>
      </rPr>
      <t xml:space="preserve">Wartość wypłaconej pomocy publicznej oraz pomocy </t>
    </r>
    <r>
      <rPr>
        <b/>
        <i/>
        <sz val="10"/>
        <rFont val="Arial"/>
        <family val="2"/>
      </rPr>
      <t xml:space="preserve">de minimis </t>
    </r>
    <r>
      <rPr>
        <sz val="10"/>
        <rFont val="Arial"/>
        <family val="2"/>
      </rPr>
      <t>- wartość środków zakwalifikowanych jako pomoc publiczna oraz pomoc de minimis wypłaconych w ramach Programu (tj. przekazanych na rachunki beneficjentów) na podstawie zatwierdzonych wniosków o płatność.</t>
    </r>
  </si>
  <si>
    <r>
      <t xml:space="preserve">Liczba projektów objętych pomocą publiczną oraz pomocą </t>
    </r>
    <r>
      <rPr>
        <b/>
        <i/>
        <sz val="10"/>
        <rFont val="Arial"/>
        <family val="2"/>
      </rPr>
      <t>de minimis</t>
    </r>
  </si>
  <si>
    <r>
      <t xml:space="preserve">Wartość projektów objętych pomocą publiczną oraz pomocą </t>
    </r>
    <r>
      <rPr>
        <b/>
        <i/>
        <sz val="10"/>
        <rFont val="Arial"/>
        <family val="2"/>
      </rPr>
      <t>de minimis</t>
    </r>
  </si>
  <si>
    <r>
      <t xml:space="preserve">Wartość wypłaconej pomocy publicznej oraz pomocy </t>
    </r>
    <r>
      <rPr>
        <b/>
        <i/>
        <sz val="10"/>
        <rFont val="Arial"/>
        <family val="2"/>
      </rPr>
      <t>de minimis</t>
    </r>
  </si>
  <si>
    <r>
      <t>Pomoc publiczna oraz pomoc de minimis udzielana bezpośrednio na rzecz MŚP</t>
    </r>
    <r>
      <rPr>
        <sz val="10"/>
        <rFont val="Arial"/>
        <family val="2"/>
      </rPr>
      <t xml:space="preserve"> - należy uwzględnić wyłącznie projekty własne MŚP objęte pomocą publiczną oraz pomocą de minimis, tj. umowa na realizację projektu została podpisana między IP/IP2 a Beneficjentem będącym mikro, małym lub średnim przedsiębiorcą
</t>
    </r>
    <r>
      <rPr>
        <i/>
        <sz val="10"/>
        <rFont val="Arial"/>
        <family val="2"/>
      </rPr>
      <t>Pomoc publiczna oraz pomoc de minimis udzialana na rzecz MŚP przez instytucje pełniace rolę pośredników</t>
    </r>
    <r>
      <rPr>
        <sz val="10"/>
        <rFont val="Arial"/>
        <family val="2"/>
      </rPr>
      <t xml:space="preserve"> - należy uwzględnić projekty, w ramach których pomoc publiczna oraz pomoc de minimis jest udzielana na rzecz MŚP przez inne podmioty</t>
    </r>
  </si>
  <si>
    <r>
      <t xml:space="preserve">Liczba projektów MŚP objętych pomocą publiczną oraz pomocą </t>
    </r>
    <r>
      <rPr>
        <b/>
        <i/>
        <sz val="10"/>
        <rFont val="Arial"/>
        <family val="2"/>
      </rPr>
      <t>de minimis</t>
    </r>
  </si>
  <si>
    <r>
      <t xml:space="preserve">Wartość projektów MŚP objętych pomocą publiczną oraz pomocą </t>
    </r>
    <r>
      <rPr>
        <b/>
        <i/>
        <sz val="10"/>
        <rFont val="Arial"/>
        <family val="2"/>
      </rPr>
      <t>de minimis</t>
    </r>
  </si>
  <si>
    <r>
      <t>Wartość pomocy publicznej oraz pomocy</t>
    </r>
    <r>
      <rPr>
        <b/>
        <i/>
        <sz val="10"/>
        <rFont val="Arial"/>
        <family val="2"/>
      </rPr>
      <t xml:space="preserve"> de minimis </t>
    </r>
    <r>
      <rPr>
        <b/>
        <sz val="10"/>
        <rFont val="Arial"/>
        <family val="2"/>
      </rPr>
      <t>wypłaconej na rzecz MŚP</t>
    </r>
  </si>
  <si>
    <r>
      <t xml:space="preserve">Pomoc publiczna oraz pomoc </t>
    </r>
    <r>
      <rPr>
        <b/>
        <i/>
        <sz val="10"/>
        <rFont val="Arial"/>
        <family val="2"/>
      </rPr>
      <t>de minimis</t>
    </r>
    <r>
      <rPr>
        <b/>
        <sz val="10"/>
        <rFont val="Arial"/>
        <family val="2"/>
      </rPr>
      <t xml:space="preserve"> udzielana bezpośrednio na rzecz MŚP</t>
    </r>
  </si>
  <si>
    <r>
      <t xml:space="preserve">Należy wypełnić w oparciu o dane z załącznika nr 2 </t>
    </r>
    <r>
      <rPr>
        <i/>
        <sz val="10"/>
        <rFont val="Arial"/>
        <family val="2"/>
      </rPr>
      <t>"Szczegółowa charakterystyka udzielonego wsparcia"</t>
    </r>
    <r>
      <rPr>
        <sz val="10"/>
        <rFont val="Arial"/>
        <family val="2"/>
      </rPr>
      <t xml:space="preserve"> wniosków o płatność zatwierdzonych i wprowadzonych do KSI SIMIK 07-13 wg stanu na koniec bieżącego okresu sprawozdawczego.</t>
    </r>
  </si>
  <si>
    <t>Liczba podmiotów ekonomii społecznej, które skorzystały z usług doradczych</t>
  </si>
  <si>
    <t>Liczba osób, które zakończyły udział w projektach realizowanych w ramach Działania*</t>
  </si>
  <si>
    <t xml:space="preserve">- w tym liczba osób w wieku 15-24 lata* </t>
  </si>
  <si>
    <t>- w tym liczba osób w wieku 15-24 lata zamieszkujących obszary wiejskie*</t>
  </si>
  <si>
    <t>- w tym liczba osób znajdujących się w szczególnie trudnej sytuacji na rynku pracy*</t>
  </si>
  <si>
    <t xml:space="preserve">    a) w tym liczba osób niepełnosprawnych*</t>
  </si>
  <si>
    <t xml:space="preserve">    b) w tym liczba osób długotrwale bezrobotnych*</t>
  </si>
  <si>
    <t xml:space="preserve">    c) w tym liczba osób z terenów wiejskich*</t>
  </si>
  <si>
    <t xml:space="preserve">- w tym liczba osób w wieku 50-64 lata* </t>
  </si>
  <si>
    <t xml:space="preserve">- w tym liczba osób, które zostały objęte Indywidualnym Planem Działania* </t>
  </si>
  <si>
    <t>Liczba projektów wspierających rozwój inicjatyw lokalnych*</t>
  </si>
  <si>
    <t>Liczba projektów wspierających rozwój inicjatyw na rzecz aktywizacji i integracji społeczności lokalnych*</t>
  </si>
  <si>
    <t>Liczba partnerstw (sieci współpracy) zawiązanych na szczeblu lokalnym i regionalnym*</t>
  </si>
  <si>
    <t>c) środki na rozpoczęcie działalności gospodarczej</t>
  </si>
  <si>
    <t>a) jednorazowy dodatek relokacyjny/ mobilnościowy**</t>
  </si>
  <si>
    <t>b) jednorazowy dodatek motywacyjny**</t>
  </si>
  <si>
    <t>** Wskaźnik monitorowany w odniesieniu do projektów, dla których wniosek o dofinansowanie został złożony do dnia 31 grudnia 2010 r.</t>
  </si>
  <si>
    <t>Liczba osób, które były objęte wsparciem w zakresie rozpoczynania własnej działalności gospodarczej typu spin off lub spin out*</t>
  </si>
  <si>
    <r>
      <t xml:space="preserve">W wierszach </t>
    </r>
    <r>
      <rPr>
        <i/>
        <sz val="10"/>
        <rFont val="Arial"/>
        <family val="2"/>
      </rPr>
      <t xml:space="preserve">„Osoby w wieku 55-64 lata” </t>
    </r>
    <r>
      <rPr>
        <sz val="10"/>
        <rFont val="Arial"/>
        <family val="2"/>
      </rPr>
      <t xml:space="preserve">oraz </t>
    </r>
    <r>
      <rPr>
        <i/>
        <sz val="10"/>
        <rFont val="Arial"/>
        <family val="2"/>
      </rPr>
      <t>„Pracownicy w wieku 55-64 lata”</t>
    </r>
    <r>
      <rPr>
        <sz val="10"/>
        <rFont val="Arial"/>
        <family val="2"/>
      </rPr>
      <t xml:space="preserve"> wykazywani są uczestnicy projektów realizowanych w ramach Działania, którzy w dniu rozpoczęcia udziału w projekcie mieli skończone 55 lat (od dnia 55 urodzin) i jednocześnie nie ukończyli 65 lat (do dnia poprzedzającego dzień 65 urodzin). W ramach </t>
    </r>
    <r>
      <rPr>
        <i/>
        <sz val="10"/>
        <rFont val="Arial"/>
        <family val="2"/>
      </rPr>
      <t>„Pracowników w wieku 55-64 lata"</t>
    </r>
    <r>
      <rPr>
        <sz val="10"/>
        <rFont val="Arial"/>
        <family val="2"/>
      </rPr>
      <t xml:space="preserve"> należy uwzględniać osoby zatrudnione i samozatrudnione zgodnie z definicjami wskazanymi w Instrukcji do wniosku o dofinansowanie projektu PO KL.</t>
    </r>
  </si>
  <si>
    <t>osoby w wieku 55-64 lata</t>
  </si>
  <si>
    <t>w tym pracownicy w wieku 55-64 lata</t>
  </si>
  <si>
    <r>
      <t>liczba osób, które znalazły lub kontynuują zatrudnienie</t>
    </r>
    <r>
      <rPr>
        <sz val="9"/>
        <rFont val="Arial"/>
        <family val="2"/>
      </rPr>
      <t xml:space="preserve"> - liczba osób, które podjęły zatrudnienie lub ropoczęły prowadzenie działalności gospodarczej po zakończeniu udziału w projektach realizowanych w ramach Działania - dot. uczestników, którzy zakończyli udział w Działaniu od roku, w którym w Planach działania wprowadzono kryteria dot. pomiaru efektywności zatrudnieniowej
</t>
    </r>
    <r>
      <rPr>
        <b/>
        <sz val="9"/>
        <rFont val="Arial"/>
        <family val="2"/>
      </rPr>
      <t>W kol. 6-8 należy wykazać uczestników, którzy podjęli zatrudnienie, spośród osób wykazanych w kol. 3-5.</t>
    </r>
  </si>
  <si>
    <t xml:space="preserve">Liczba uczniów szkół zawodowych, którzy otrzymali wsparcie w postaci staży i praktyk zagranicznych </t>
  </si>
  <si>
    <t xml:space="preserve">d) w tym w zakresie kwalifikacyjnych kursów zawodowych </t>
  </si>
  <si>
    <t>- w tym liczba osób w wieku 15-24 lata</t>
  </si>
  <si>
    <t>Liczba osób, które skorzystały z usług doradczych (projekty inżynierii finansowej)</t>
  </si>
  <si>
    <t>Liczba osób, które uczestniczyły w szkoleniach (projekty inżynierii finansowej)</t>
  </si>
  <si>
    <t>W tabeli należy wykazać przedsiebiorstwa objęte wsparciem w ramach Priorytetu I, II, VI, VII, VIII i IX</t>
  </si>
  <si>
    <r>
      <t xml:space="preserve">Zgodnie z rozporządzeniem Komisji (WE) nr 800/2008 z dnia 6 sierpnia 2008 r. uznające niektóre rodzaje pomocy za zgodne ze wspólnym rynkiem w zastosowaniu art. 87 i 88 Traktatu WE (ogólne rozporządzenie w sprawie wyłączeń blokowych) przyjęto następujące definicje przedsiębiorstw:
</t>
    </r>
    <r>
      <rPr>
        <b/>
        <sz val="9"/>
        <rFont val="Arial"/>
        <family val="2"/>
      </rPr>
      <t>Mikroprzedsiębiorstwo</t>
    </r>
    <r>
      <rPr>
        <sz val="9"/>
        <rFont val="Arial"/>
        <family val="2"/>
      </rPr>
      <t xml:space="preserve"> – jest to przedsiębiorstwo zatrudniające do 9 pracowników włącznie i którego roczny obrót i/lub całkowity bilans roczny nie przekracza 2 milionów EUR.
</t>
    </r>
    <r>
      <rPr>
        <b/>
        <sz val="9"/>
        <rFont val="Arial"/>
        <family val="2"/>
      </rPr>
      <t>Małe przedsiębiorstwo</t>
    </r>
    <r>
      <rPr>
        <sz val="9"/>
        <rFont val="Arial"/>
        <family val="2"/>
      </rPr>
      <t xml:space="preserve"> – jest to przedsiębiorstwo zatrudniające do 49 pracowników włącznie i którego roczny obrót i/lub całkowity bilans roczny nie przekracza 10 milionów EUR.
</t>
    </r>
    <r>
      <rPr>
        <b/>
        <sz val="9"/>
        <rFont val="Arial"/>
        <family val="2"/>
      </rPr>
      <t>Średnie przedsiębiorstwo</t>
    </r>
    <r>
      <rPr>
        <sz val="9"/>
        <rFont val="Arial"/>
        <family val="2"/>
      </rPr>
      <t xml:space="preserve"> – jest to przedsiębiorstwo zatrudniające do 249 pracowników włącznie i którego roczny obrót nie przekracza 50 milionów EUR a/lub całkowity bilans roczny nie przekracza 43 milionów EUR.
</t>
    </r>
    <r>
      <rPr>
        <b/>
        <sz val="9"/>
        <rFont val="Arial"/>
        <family val="2"/>
      </rPr>
      <t>Duże przedsiębiorstwo</t>
    </r>
    <r>
      <rPr>
        <sz val="9"/>
        <rFont val="Arial"/>
        <family val="2"/>
      </rPr>
      <t xml:space="preserve"> – jest to przedsiębiorstwo, które nie kwalifikuje się do żadnej z ww. kategorii przedsiębiorstw.
Ponadto, zgodnie z Instrukcją do wniosku o dofinansowanie projektu Program Operacyjny Kapitał Ludzki przyjęto następującą definicję samozatrudnionych:
</t>
    </r>
    <r>
      <rPr>
        <b/>
        <sz val="9"/>
        <rFont val="Arial"/>
        <family val="2"/>
      </rPr>
      <t>Samozatrudnieni</t>
    </r>
    <r>
      <rPr>
        <sz val="9"/>
        <rFont val="Arial"/>
        <family val="2"/>
      </rPr>
      <t xml:space="preserve"> – osoby fizyczne prowadzące działalność gospodarczą, nie zatrudniające pracowników.</t>
    </r>
  </si>
  <si>
    <r>
      <t xml:space="preserve">Należy wypełnić w oparciu o dane z załącznika nr 2 </t>
    </r>
    <r>
      <rPr>
        <i/>
        <sz val="10"/>
        <rFont val="Arial"/>
        <family val="2"/>
      </rPr>
      <t>"Szczegółowa charakterystyka udzielonego wsparcia"</t>
    </r>
    <r>
      <rPr>
        <sz val="10"/>
        <rFont val="Arial"/>
        <family val="2"/>
      </rPr>
      <t xml:space="preserve"> wniosków o płatność zatwierdzonych i wprowadzonych do KSI SIMIK 07-13 wg stanu na koniec bieżącego okresu sprawozdawczego. W odniesieniu do projektów systemowych powiatowych urzędów pracy, ośrodków pomocy społecznej i powiatowych centrów pomocy rodzinie należy uwzględnić dane kumulatywne od początku okresu ich realizacji.</t>
    </r>
  </si>
  <si>
    <t>* Wskaźnik monitorowany w odniesieniu do projektów, dla których wniosek o dofinansowanie został złożony do dnia 31 grudnia 2011 r.</t>
  </si>
  <si>
    <t>Liczba konsultantów świadczących usługi na rzecz rozwoju przedsiębiorczości w akredytowanych instytucjach, którzy zostali objęci usługami doradczymi, szkoleniowymi lub innymi formami podwyższania kwalifikacji*</t>
  </si>
  <si>
    <t>Liczba projektów analitycznych i badawczych zrealizowanych w ramach Planu Działań*</t>
  </si>
  <si>
    <r>
      <t>W ramach wiersza nr 1</t>
    </r>
    <r>
      <rPr>
        <b/>
        <sz val="10"/>
        <rFont val="Arial"/>
        <family val="2"/>
      </rPr>
      <t xml:space="preserve"> </t>
    </r>
    <r>
      <rPr>
        <b/>
        <i/>
        <sz val="10"/>
        <rFont val="Arial"/>
        <family val="2"/>
      </rPr>
      <t>„podstawowe, gimnazjalne i niższe”</t>
    </r>
    <r>
      <rPr>
        <sz val="10"/>
        <rFont val="Arial"/>
        <family val="2"/>
      </rPr>
      <t xml:space="preserve"> wykazywane są osoby, które posiadają wykształcenie podstawowe, gimnazjalne oraz niższe od ww. wymienionych. W ramach wiersza nr 2 </t>
    </r>
    <r>
      <rPr>
        <b/>
        <i/>
        <sz val="10"/>
        <rFont val="Arial"/>
        <family val="2"/>
      </rPr>
      <t>„ponadgimnazjalne”</t>
    </r>
    <r>
      <rPr>
        <sz val="10"/>
        <rFont val="Arial"/>
        <family val="2"/>
      </rPr>
      <t xml:space="preserve"> wykazywane są osoby, które posiadają wykształcenie średnie lub zasadnicze zawodowe. W ramach wiersza nr 3 </t>
    </r>
    <r>
      <rPr>
        <b/>
        <i/>
        <sz val="10"/>
        <rFont val="Arial"/>
        <family val="2"/>
      </rPr>
      <t>„pomaturalne”</t>
    </r>
    <r>
      <rPr>
        <sz val="10"/>
        <rFont val="Arial"/>
        <family val="2"/>
      </rPr>
      <t xml:space="preserve"> wykazywane są osoby, które ukończyły szkołę policealną, ale nie ukończyły studiów wyższych. W ramach wiersza nr 4 </t>
    </r>
    <r>
      <rPr>
        <b/>
        <i/>
        <sz val="10"/>
        <rFont val="Arial"/>
        <family val="2"/>
      </rPr>
      <t>„wyższe”</t>
    </r>
    <r>
      <rPr>
        <sz val="10"/>
        <rFont val="Arial"/>
        <family val="2"/>
      </rPr>
      <t xml:space="preserve"> wykazywane są osoby, które posiadają wykształcenie wyższe (uzyskały tytuł licencjata lub inżyniera lub magistra lub doktora), w tym również osoby, które ukończyły studia podyplomowe.</t>
    </r>
  </si>
  <si>
    <r>
      <t xml:space="preserve">Pomiar wskaźników jest dokonywany zgodnie z </t>
    </r>
    <r>
      <rPr>
        <i/>
        <sz val="9"/>
        <rFont val="Arial"/>
        <family val="2"/>
      </rPr>
      <t>Podręcznikiem wskaźników PO KL 2007-2013</t>
    </r>
    <r>
      <rPr>
        <sz val="9"/>
        <rFont val="Arial"/>
        <family val="2"/>
      </rPr>
      <t xml:space="preserve">, stanowiącym załącznik do </t>
    </r>
    <r>
      <rPr>
        <i/>
        <sz val="9"/>
        <rFont val="Arial"/>
        <family val="2"/>
      </rPr>
      <t>Zasad systemu sprawozdawczości PO KL 2007-2013</t>
    </r>
    <r>
      <rPr>
        <sz val="9"/>
        <rFont val="Arial"/>
        <family val="2"/>
      </rPr>
      <t>.</t>
    </r>
  </si>
  <si>
    <t>Załącznik nr 1. Osiągnięte wartości wskaźników</t>
  </si>
  <si>
    <r>
      <t xml:space="preserve">UWAGA:
</t>
    </r>
    <r>
      <rPr>
        <sz val="10"/>
        <rFont val="Arial"/>
        <family val="2"/>
      </rPr>
      <t xml:space="preserve">Wartości wskaźników prezentujących liczbę osób, które zakończyły udział w projektach, powinny być powiązane z wartościami wynikającymi z tabeli w załączniku nr 2 </t>
    </r>
    <r>
      <rPr>
        <i/>
        <sz val="10"/>
        <rFont val="Arial"/>
        <family val="2"/>
      </rPr>
      <t>„Przepływ uczestników projektów realizowanych w ramach Działania”</t>
    </r>
    <r>
      <rPr>
        <sz val="10"/>
        <rFont val="Arial"/>
        <family val="2"/>
      </rPr>
      <t>.</t>
    </r>
  </si>
  <si>
    <t>Załącznik nr 2. Przepływ uczestników projektów realizowanych w ramach Działania</t>
  </si>
  <si>
    <t>Liczba osób, które zakończyły udział w Działaniu</t>
  </si>
  <si>
    <t>Załącznik nr 3. Określenie statusu na rynku pracy osób, które rozpoczęły udział w projektach realizowanych w ramach Działania</t>
  </si>
  <si>
    <r>
      <t xml:space="preserve">Pomiar wskaźników jest dokonywany zgodnie z załącznikiem nr 7 </t>
    </r>
    <r>
      <rPr>
        <i/>
        <sz val="9"/>
        <rFont val="Arial"/>
        <family val="2"/>
      </rPr>
      <t xml:space="preserve">Sposób pomiaru wskaźnika efektywności zatrudnieniowej w projekcie </t>
    </r>
    <r>
      <rPr>
        <sz val="9"/>
        <rFont val="Arial"/>
        <family val="2"/>
      </rPr>
      <t>do</t>
    </r>
    <r>
      <rPr>
        <i/>
        <sz val="9"/>
        <rFont val="Arial"/>
        <family val="2"/>
      </rPr>
      <t xml:space="preserve"> Podręcznika wskaźników PO KL 2007-2013.</t>
    </r>
  </si>
  <si>
    <t>Załącznik nr 4. Osoby, które rozpoczęły udział w projektach realizowanych w ramach Działania, znajdujący się w dwóch grupach wiekowych 15-24 i 55-64 lata</t>
  </si>
  <si>
    <t>5=3+4</t>
  </si>
  <si>
    <t>8=6+7</t>
  </si>
  <si>
    <t>9=(6/3)*100</t>
  </si>
  <si>
    <r>
      <t>Wskaźnik efektywności zatrudnieniowej należy liczyć</t>
    </r>
    <r>
      <rPr>
        <b/>
        <sz val="9"/>
        <rFont val="Arial"/>
        <family val="2"/>
      </rPr>
      <t xml:space="preserve"> narastająco od początku realizacjji Działania</t>
    </r>
    <r>
      <rPr>
        <sz val="9"/>
        <rFont val="Arial"/>
        <family val="2"/>
      </rPr>
      <t>.</t>
    </r>
  </si>
  <si>
    <t>Inne wskaźniki efektywności zatrudnieniowej określone we wniosku o dofinansowanie w ramach Priorytetu/ Działania (należy podać nr Priorytetu/ Działania j.w.)</t>
  </si>
  <si>
    <r>
      <t xml:space="preserve">Tabela stanowi uszczegółowienie informacji przekazanych w ramach załącznika nr 2 </t>
    </r>
    <r>
      <rPr>
        <i/>
        <sz val="10"/>
        <rFont val="Arial"/>
        <family val="2"/>
      </rPr>
      <t>Przepływ uczestników projektów realizowanych w ramach Działania</t>
    </r>
    <r>
      <rPr>
        <sz val="10"/>
        <rFont val="Arial"/>
        <family val="2"/>
      </rPr>
      <t xml:space="preserve">. </t>
    </r>
    <r>
      <rPr>
        <b/>
        <sz val="10"/>
        <rFont val="Arial"/>
        <family val="2"/>
      </rPr>
      <t>Wiek osoby objętej wsparciem określany jest w chwili rozpoczęcia jej udziału w projekcie</t>
    </r>
    <r>
      <rPr>
        <sz val="10"/>
        <rFont val="Arial"/>
        <family val="2"/>
      </rPr>
      <t>. W wierszu „Osoby młode 15-24 lata” należy uwzględnić uczestników projektu, którzy w dniu rozpoczęcia udziału w projekcie mieli skończone 15 lat (od dnia 15 urodzin) i jednocześnie nie ukończyli 25 lat (do dnia poprzedzającego dzień 25 urodzin).</t>
    </r>
  </si>
  <si>
    <t>Załącznik nr 5. Osoby, które rozpoczęły udział w projektach realizowanych w ramach Działania ze względu na wykształcenie</t>
  </si>
  <si>
    <r>
      <t xml:space="preserve">Tabela stanowi uszczegółowienie informacji przekazanych w ramach załącznika nr 2 </t>
    </r>
    <r>
      <rPr>
        <i/>
        <sz val="10"/>
        <rFont val="Arial"/>
        <family val="2"/>
      </rPr>
      <t>Przepływ uczestników projektów realizowanych w ramach Działania</t>
    </r>
    <r>
      <rPr>
        <sz val="10"/>
        <rFont val="Arial"/>
        <family val="2"/>
      </rPr>
      <t>. Wykształcenie uczestników projektów określane jest w chwili rozpoczęcia ich udziału w projektach, biorąc pod uwagę ostatni zakończony formalnie etap edukacji danej osoby.</t>
    </r>
  </si>
  <si>
    <t>Załącznik nr 6. Przedsiębiorstwa, które przystąpiły do udziału w projektach realizowanych w ramach Działania</t>
  </si>
  <si>
    <t>W celu ukrywania szczegółowych danych dotyczących wskaźników monitorowanych w ramach poszczególnych Działań PO KL należy odpowiednio kliknąć znak plus (pozwala na wyświetlenie wskaźników dla danego Działania) lub znak minus (pozwala na ukrycie wskaźników dla danego Działania) znajdujący się poniżej wiersza z nr Działania. 
Należy przekazać tylko tę część tabeli dotyczącą Działania/Działań PO KL, za które sporządzane jest sprawozdanie.</t>
  </si>
  <si>
    <t xml:space="preserve">* kolumnę należy wypełnić łącznie dla protestów rozpatrywanych przez podległe IP II oraz IP jeśli dotyczy. </t>
  </si>
  <si>
    <t xml:space="preserve">** kolumna dotyczy tylko IP ( Pola  4,  8, 11 powinny być wypełniane w oparciu o dane z podległych IP II - jeśli zostały one powołane). W przypadku województw, w których nie powołano IP II pola 3,  7, 10 należy wypełnić wpisując zwrot "nie dotyczy".      </t>
  </si>
  <si>
    <t xml:space="preserve">OCENA FORMALNA </t>
  </si>
  <si>
    <t>PROTESTY*</t>
  </si>
  <si>
    <t>ODWOŁANIA**</t>
  </si>
  <si>
    <r>
      <t>1.</t>
    </r>
    <r>
      <rPr>
        <sz val="10"/>
        <rFont val="Arial"/>
        <family val="2"/>
      </rPr>
      <t xml:space="preserve"> </t>
    </r>
    <r>
      <rPr>
        <b/>
        <sz val="10"/>
        <rFont val="Arial"/>
        <family val="2"/>
      </rPr>
      <t xml:space="preserve">liczba wniosków przyjętych do oceny formalnej </t>
    </r>
    <r>
      <rPr>
        <sz val="7"/>
        <rFont val="Arial"/>
        <family val="2"/>
      </rPr>
      <t>(1)</t>
    </r>
    <r>
      <rPr>
        <b/>
        <sz val="10"/>
        <rFont val="Arial"/>
        <family val="2"/>
      </rPr>
      <t xml:space="preserve"> </t>
    </r>
    <r>
      <rPr>
        <sz val="10"/>
        <rFont val="Arial"/>
        <family val="2"/>
      </rPr>
      <t>:</t>
    </r>
  </si>
  <si>
    <r>
      <t>2.</t>
    </r>
    <r>
      <rPr>
        <sz val="10"/>
        <rFont val="Arial"/>
        <family val="2"/>
      </rPr>
      <t xml:space="preserve"> </t>
    </r>
    <r>
      <rPr>
        <b/>
        <sz val="10"/>
        <rFont val="Arial"/>
        <family val="2"/>
      </rPr>
      <t xml:space="preserve">liczba wniosków ocenionych negatywnie po ocenie formalnej </t>
    </r>
    <r>
      <rPr>
        <sz val="7"/>
        <rFont val="Arial"/>
        <family val="2"/>
      </rPr>
      <t xml:space="preserve">(2) (3) </t>
    </r>
    <r>
      <rPr>
        <b/>
        <sz val="10"/>
        <rFont val="Arial"/>
        <family val="2"/>
      </rPr>
      <t xml:space="preserve">: </t>
    </r>
  </si>
  <si>
    <r>
      <t xml:space="preserve">3. liczba protestów od negatywnej oceny formalnej projektów, </t>
    </r>
    <r>
      <rPr>
        <sz val="10"/>
        <rFont val="Arial"/>
        <family val="2"/>
      </rPr>
      <t xml:space="preserve">które wpłynęły do IOK </t>
    </r>
    <r>
      <rPr>
        <b/>
        <sz val="10"/>
        <rFont val="Arial"/>
        <family val="2"/>
      </rPr>
      <t>w tym:</t>
    </r>
  </si>
  <si>
    <r>
      <t>3</t>
    </r>
    <r>
      <rPr>
        <sz val="10"/>
        <rFont val="Arial"/>
        <family val="2"/>
      </rPr>
      <t xml:space="preserve">. </t>
    </r>
    <r>
      <rPr>
        <b/>
        <sz val="10"/>
        <rFont val="Arial"/>
        <family val="2"/>
      </rPr>
      <t>liczba odwołań od negatywnej oceny formalnej projektów,</t>
    </r>
    <r>
      <rPr>
        <sz val="10"/>
        <rFont val="Arial"/>
        <family val="2"/>
      </rPr>
      <t xml:space="preserve"> które wpłynęły do IP </t>
    </r>
    <r>
      <rPr>
        <b/>
        <sz val="10"/>
        <rFont val="Arial"/>
        <family val="2"/>
      </rPr>
      <t>w tym:</t>
    </r>
  </si>
  <si>
    <r>
      <t>3.1 rozpatrzonych</t>
    </r>
    <r>
      <rPr>
        <sz val="10"/>
        <rFont val="Arial"/>
        <family val="2"/>
      </rPr>
      <t xml:space="preserve"> (ogółem) </t>
    </r>
    <r>
      <rPr>
        <sz val="7"/>
        <rFont val="Arial"/>
        <family val="2"/>
      </rPr>
      <t>(3)</t>
    </r>
    <r>
      <rPr>
        <sz val="10"/>
        <rFont val="Arial"/>
        <family val="2"/>
      </rPr>
      <t xml:space="preserve"> : </t>
    </r>
  </si>
  <si>
    <r>
      <t xml:space="preserve">3.1 rozpatrzonych (ogółem) </t>
    </r>
    <r>
      <rPr>
        <b/>
        <sz val="7"/>
        <rFont val="Arial"/>
        <family val="2"/>
      </rPr>
      <t>(3)</t>
    </r>
    <r>
      <rPr>
        <b/>
        <sz val="10"/>
        <rFont val="Arial"/>
        <family val="2"/>
      </rPr>
      <t xml:space="preserve">: </t>
    </r>
  </si>
  <si>
    <t xml:space="preserve">3.1.1 pozytywnie: </t>
  </si>
  <si>
    <t xml:space="preserve">3.1.2 negatywnie: </t>
  </si>
  <si>
    <r>
      <t xml:space="preserve">3.2 pozostawionych bez rozpatrzenia </t>
    </r>
    <r>
      <rPr>
        <b/>
        <sz val="7"/>
        <rFont val="Arial"/>
        <family val="2"/>
      </rPr>
      <t>(3)</t>
    </r>
    <r>
      <rPr>
        <b/>
        <sz val="10"/>
        <rFont val="Arial"/>
        <family val="2"/>
      </rPr>
      <t xml:space="preserve">: </t>
    </r>
  </si>
  <si>
    <t xml:space="preserve">3.3 wycofanych: </t>
  </si>
  <si>
    <t xml:space="preserve">3.4 w trakcie rozpatrywania: </t>
  </si>
  <si>
    <r>
      <t>4. liczba wniosków, z pkt 3.1.1, które po pozytywnym rozpatrzeniu protestu od oceny formalnej uzyskały dofinansowanie (podpisano umowy o dofinansowanie ralizacji  projektu)</t>
    </r>
    <r>
      <rPr>
        <sz val="10"/>
        <rFont val="Arial"/>
        <family val="2"/>
      </rPr>
      <t xml:space="preserve"> </t>
    </r>
    <r>
      <rPr>
        <sz val="7"/>
        <rFont val="Arial"/>
        <family val="2"/>
      </rPr>
      <t>(4)</t>
    </r>
    <r>
      <rPr>
        <b/>
        <sz val="10"/>
        <rFont val="Arial"/>
        <family val="2"/>
      </rPr>
      <t xml:space="preserve"> : </t>
    </r>
  </si>
  <si>
    <r>
      <t xml:space="preserve">4. liczba wniosków, z pkt 3.1.1, które po pozytywnym rozpatrzeniu odwołania od oceny formalnej uzyskały dofinansowanie (podpisano umowy o dofinansowanie ralizacji  projektu) </t>
    </r>
    <r>
      <rPr>
        <b/>
        <sz val="7"/>
        <rFont val="Arial"/>
        <family val="2"/>
      </rPr>
      <t xml:space="preserve">(4) </t>
    </r>
    <r>
      <rPr>
        <b/>
        <sz val="10"/>
        <rFont val="Arial"/>
        <family val="2"/>
      </rPr>
      <t xml:space="preserve">: </t>
    </r>
  </si>
  <si>
    <t xml:space="preserve">OCENA MERYTORYCZNA </t>
  </si>
  <si>
    <r>
      <t xml:space="preserve">5. liczba wniosków przyjętych do oceny merytorycznej </t>
    </r>
    <r>
      <rPr>
        <b/>
        <sz val="7"/>
        <rFont val="Arial"/>
        <family val="2"/>
      </rPr>
      <t>(5) (6) :</t>
    </r>
    <r>
      <rPr>
        <b/>
        <sz val="10"/>
        <rFont val="Arial"/>
        <family val="2"/>
      </rPr>
      <t xml:space="preserve"> </t>
    </r>
    <r>
      <rPr>
        <sz val="10"/>
        <rFont val="Arial"/>
        <family val="2"/>
      </rPr>
      <t xml:space="preserve"> </t>
    </r>
  </si>
  <si>
    <t xml:space="preserve">             OCENA  PONIŻEJ  MINIMUM  PUNKTOWEGO   </t>
  </si>
  <si>
    <r>
      <t>6. liczba wniosków ocenionych  negatywnie po ocenie merytorycznej</t>
    </r>
    <r>
      <rPr>
        <sz val="10"/>
        <rFont val="Arial"/>
        <family val="2"/>
      </rPr>
      <t xml:space="preserve"> (wniosek uzyskał poniżej 60 pkt lub/i poniżej 60%, w którymkolwiek kryterium oceny lub/i został odrzucony ze względu na niespełnienie kryteriów w części A KOM):</t>
    </r>
  </si>
  <si>
    <r>
      <t>7. liczba protestów od negatywnej oceny merytorycznej projektów</t>
    </r>
    <r>
      <rPr>
        <sz val="10"/>
        <rFont val="Arial"/>
        <family val="2"/>
      </rPr>
      <t xml:space="preserve">, które wpłynęły do IOK, 
</t>
    </r>
    <r>
      <rPr>
        <b/>
        <sz val="10"/>
        <rFont val="Arial"/>
        <family val="2"/>
      </rPr>
      <t>w tym:</t>
    </r>
  </si>
  <si>
    <r>
      <t>7. liczba odwołań od negatywnej oceny merytorycznej projektów</t>
    </r>
    <r>
      <rPr>
        <sz val="10"/>
        <rFont val="Arial"/>
        <family val="2"/>
      </rPr>
      <t xml:space="preserve"> (wniosek uzyskał poniżej 60 pkt lub/i poniżej 60%, w którymkolwiek kryterium oceny lub/i został odrzucony ze względu na niespełnienie kryteriów w części A KOM), które wpłynęły do IP, </t>
    </r>
    <r>
      <rPr>
        <b/>
        <sz val="10"/>
        <rFont val="Arial"/>
        <family val="2"/>
      </rPr>
      <t>w tym:</t>
    </r>
  </si>
  <si>
    <r>
      <t>7.1 rozpatrzonych</t>
    </r>
    <r>
      <rPr>
        <sz val="10"/>
        <rFont val="Arial"/>
        <family val="2"/>
      </rPr>
      <t xml:space="preserve"> (ogółem) </t>
    </r>
    <r>
      <rPr>
        <sz val="7"/>
        <rFont val="Arial"/>
        <family val="2"/>
      </rPr>
      <t xml:space="preserve">(3) </t>
    </r>
    <r>
      <rPr>
        <b/>
        <sz val="10"/>
        <rFont val="Arial"/>
        <family val="2"/>
      </rPr>
      <t xml:space="preserve">: </t>
    </r>
  </si>
  <si>
    <r>
      <t xml:space="preserve">7.1 rozpatrzonych </t>
    </r>
    <r>
      <rPr>
        <sz val="10"/>
        <rFont val="Arial"/>
        <family val="2"/>
      </rPr>
      <t xml:space="preserve">(ogółem) </t>
    </r>
    <r>
      <rPr>
        <sz val="7"/>
        <rFont val="Arial"/>
        <family val="2"/>
      </rPr>
      <t>(3)</t>
    </r>
    <r>
      <rPr>
        <sz val="10"/>
        <rFont val="Arial"/>
        <family val="2"/>
      </rPr>
      <t xml:space="preserve"> </t>
    </r>
    <r>
      <rPr>
        <b/>
        <sz val="10"/>
        <rFont val="Arial"/>
        <family val="2"/>
      </rPr>
      <t xml:space="preserve">: </t>
    </r>
  </si>
  <si>
    <t xml:space="preserve">7.1.1 pozytywnie: </t>
  </si>
  <si>
    <t xml:space="preserve">7.1.2 negatywnie: </t>
  </si>
  <si>
    <r>
      <t xml:space="preserve">7.2 pozostawionych bez rozpatrzenia </t>
    </r>
    <r>
      <rPr>
        <b/>
        <sz val="7"/>
        <rFont val="Arial"/>
        <family val="2"/>
      </rPr>
      <t xml:space="preserve">(3) </t>
    </r>
    <r>
      <rPr>
        <b/>
        <sz val="10"/>
        <rFont val="Arial"/>
        <family val="2"/>
      </rPr>
      <t xml:space="preserve">:  </t>
    </r>
  </si>
  <si>
    <r>
      <t xml:space="preserve">7.2 pozostawionych bez rozpatrzenia </t>
    </r>
    <r>
      <rPr>
        <b/>
        <sz val="7"/>
        <rFont val="Arial"/>
        <family val="2"/>
      </rPr>
      <t xml:space="preserve">(3) </t>
    </r>
    <r>
      <rPr>
        <b/>
        <sz val="10"/>
        <rFont val="Arial"/>
        <family val="2"/>
      </rPr>
      <t xml:space="preserve">: </t>
    </r>
  </si>
  <si>
    <t>7.3 wycofanych:</t>
  </si>
  <si>
    <t xml:space="preserve">7.4 w trakcie rozpatrywania: </t>
  </si>
  <si>
    <r>
      <t>8.</t>
    </r>
    <r>
      <rPr>
        <sz val="10"/>
        <rFont val="Arial"/>
        <family val="2"/>
      </rPr>
      <t xml:space="preserve"> </t>
    </r>
    <r>
      <rPr>
        <b/>
        <sz val="10"/>
        <rFont val="Arial"/>
        <family val="2"/>
      </rPr>
      <t>liczba wniosków z pkt 7.1.1, które po ponownej ocenie  w wyniku pozytywnego  rozpatrzenia protestu uzyskały dofinansowanie (podpisano umowy o dofinansowanie ralizacji projektu)</t>
    </r>
    <r>
      <rPr>
        <b/>
        <sz val="7"/>
        <rFont val="Arial"/>
        <family val="2"/>
      </rPr>
      <t xml:space="preserve"> </t>
    </r>
    <r>
      <rPr>
        <sz val="7"/>
        <rFont val="Arial"/>
        <family val="2"/>
      </rPr>
      <t>(4)</t>
    </r>
    <r>
      <rPr>
        <b/>
        <sz val="10"/>
        <rFont val="Arial"/>
        <family val="2"/>
      </rPr>
      <t xml:space="preserve"> :</t>
    </r>
  </si>
  <si>
    <r>
      <t xml:space="preserve">8. liczba wniosków z pkt 7.1.1, które po ponownej ocenie  w wyniku pozytywnego rozpatrzenia odwołania uzyskały dofinansowanie (podpisano umowy o dofinansowanie ralizacji projektu) </t>
    </r>
    <r>
      <rPr>
        <sz val="7"/>
        <rFont val="Arial"/>
        <family val="2"/>
      </rPr>
      <t>(4)</t>
    </r>
    <r>
      <rPr>
        <b/>
        <sz val="10"/>
        <rFont val="Arial"/>
        <family val="2"/>
      </rPr>
      <t xml:space="preserve"> : </t>
    </r>
  </si>
  <si>
    <t xml:space="preserve">OCENA  POWYŻEJ  MINIMUM  PUNKTOWEGO   </t>
  </si>
  <si>
    <r>
      <t>9. liczba wniosków, które po ocenie merytorycznej uzyskały powyżej 60 pkt i 60 % 
w każdym kryterium oceny lecz nie zostały remomendowane do dofinansowania z powodu wyczerpania alokacji w konkursie (lista rezerwowa)</t>
    </r>
    <r>
      <rPr>
        <sz val="10"/>
        <rFont val="Arial"/>
        <family val="2"/>
      </rPr>
      <t xml:space="preserve"> </t>
    </r>
    <r>
      <rPr>
        <sz val="7"/>
        <rFont val="Arial"/>
        <family val="2"/>
      </rPr>
      <t xml:space="preserve">(4) </t>
    </r>
    <r>
      <rPr>
        <sz val="10"/>
        <rFont val="Arial"/>
        <family val="2"/>
      </rPr>
      <t xml:space="preserve">:  </t>
    </r>
  </si>
  <si>
    <r>
      <t>10. liczba protestów od oceny ww. projektów</t>
    </r>
    <r>
      <rPr>
        <sz val="10"/>
        <rFont val="Arial"/>
        <family val="2"/>
      </rPr>
      <t xml:space="preserve">, które wpłynęły do IOK, </t>
    </r>
    <r>
      <rPr>
        <b/>
        <sz val="10"/>
        <rFont val="Arial"/>
        <family val="2"/>
      </rPr>
      <t xml:space="preserve">w tym: </t>
    </r>
  </si>
  <si>
    <t xml:space="preserve">10. liczba odwołań od oceny projektów, które po ocenie merytorycznej uzyskały powyżej 60 pkt 
i 60 % w każdym kryterium oceny lecz nie zostały remomendowane do dofinansowania z powodu wyczerpania alokacji w konkursie (lista rezerwowa) w tym: </t>
  </si>
  <si>
    <r>
      <t xml:space="preserve">10.1 rozpatrzonych (ogółem) </t>
    </r>
    <r>
      <rPr>
        <b/>
        <sz val="7"/>
        <rFont val="Arial"/>
        <family val="2"/>
      </rPr>
      <t>(3)</t>
    </r>
    <r>
      <rPr>
        <b/>
        <sz val="10"/>
        <rFont val="Arial"/>
        <family val="2"/>
      </rPr>
      <t xml:space="preserve"> : </t>
    </r>
  </si>
  <si>
    <r>
      <t xml:space="preserve">10.1 rozpatrzonych (ogółem) </t>
    </r>
    <r>
      <rPr>
        <sz val="7"/>
        <rFont val="Arial"/>
        <family val="2"/>
      </rPr>
      <t xml:space="preserve">(3) </t>
    </r>
    <r>
      <rPr>
        <sz val="10"/>
        <rFont val="Arial"/>
        <family val="2"/>
      </rPr>
      <t xml:space="preserve">: </t>
    </r>
  </si>
  <si>
    <t>10.1.1 pozytywnie:</t>
  </si>
  <si>
    <t xml:space="preserve">10.1.2 negatywnie </t>
  </si>
  <si>
    <t xml:space="preserve">10.1.1 pozytywnie: </t>
  </si>
  <si>
    <t xml:space="preserve">10.1.2 negatywnie: </t>
  </si>
  <si>
    <r>
      <t xml:space="preserve">10.2 pozostawionych bez rozpatrzenia </t>
    </r>
    <r>
      <rPr>
        <b/>
        <sz val="7"/>
        <rFont val="Arial"/>
        <family val="2"/>
      </rPr>
      <t>(3)</t>
    </r>
    <r>
      <rPr>
        <b/>
        <sz val="10"/>
        <rFont val="Arial"/>
        <family val="2"/>
      </rPr>
      <t xml:space="preserve"> : </t>
    </r>
  </si>
  <si>
    <r>
      <t xml:space="preserve">10.2 pozostawionych bez rozpatrzenia </t>
    </r>
    <r>
      <rPr>
        <b/>
        <sz val="7"/>
        <rFont val="Arial"/>
        <family val="2"/>
      </rPr>
      <t>(3)</t>
    </r>
    <r>
      <rPr>
        <b/>
        <sz val="10"/>
        <rFont val="Arial"/>
        <family val="2"/>
      </rPr>
      <t>:</t>
    </r>
  </si>
  <si>
    <t xml:space="preserve">10.3 wycofanych: </t>
  </si>
  <si>
    <t xml:space="preserve">10.4 w trakcie rozpatrywania: </t>
  </si>
  <si>
    <r>
      <t xml:space="preserve">11. liczba wniosków, z pkt 10.1.1, które po ponownej ocenie w wyniku pozytywnego  rozpatrzenia protestu uzyskały dofinansowanie (podpisano umowy o dofinansowanie ralizacji  projektu) </t>
    </r>
    <r>
      <rPr>
        <b/>
        <sz val="7"/>
        <rFont val="Arial"/>
        <family val="2"/>
      </rPr>
      <t>(4</t>
    </r>
    <r>
      <rPr>
        <sz val="7"/>
        <rFont val="Arial"/>
        <family val="2"/>
      </rPr>
      <t xml:space="preserve">) </t>
    </r>
    <r>
      <rPr>
        <b/>
        <sz val="10"/>
        <rFont val="Arial"/>
        <family val="2"/>
      </rPr>
      <t xml:space="preserve">: </t>
    </r>
  </si>
  <si>
    <r>
      <t xml:space="preserve">11. liczba wniosków, z pkt 10.1.1, które po ponownej ocenie w wyniku pozytywnego  rozpatrzenia odwołania uzyskały dofinansowanie (podpisano umowy o dofinansowanie ralizacji  projektu) </t>
    </r>
    <r>
      <rPr>
        <sz val="7"/>
        <rFont val="Arial"/>
        <family val="2"/>
      </rPr>
      <t>(4)</t>
    </r>
    <r>
      <rPr>
        <sz val="10"/>
        <rFont val="Arial"/>
        <family val="2"/>
      </rPr>
      <t xml:space="preserve"> </t>
    </r>
    <r>
      <rPr>
        <b/>
        <sz val="10"/>
        <rFont val="Arial"/>
        <family val="2"/>
      </rPr>
      <t xml:space="preserve">: </t>
    </r>
  </si>
  <si>
    <t xml:space="preserve">INNE DANE </t>
  </si>
  <si>
    <t xml:space="preserve">ODWOŁANIA I 
PROTESTY </t>
  </si>
  <si>
    <r>
      <t xml:space="preserve">12. liczba wniosków, do których złożono  protesty zarówno na etapie oceny formalnej, jak i merytorycznej </t>
    </r>
    <r>
      <rPr>
        <b/>
        <sz val="7"/>
        <rFont val="Arial"/>
        <family val="2"/>
      </rPr>
      <t xml:space="preserve">(7) </t>
    </r>
    <r>
      <rPr>
        <b/>
        <sz val="10"/>
        <rFont val="Arial"/>
        <family val="2"/>
      </rPr>
      <t xml:space="preserve">: </t>
    </r>
  </si>
  <si>
    <r>
      <t xml:space="preserve">12. liczba wniosków, do których złożono odwołanie zarówno na etapie oceny formalnej, jak i merytorycznej </t>
    </r>
    <r>
      <rPr>
        <b/>
        <sz val="7"/>
        <rFont val="Arial"/>
        <family val="2"/>
      </rPr>
      <t>(7)</t>
    </r>
    <r>
      <rPr>
        <b/>
        <sz val="10"/>
        <rFont val="Arial"/>
        <family val="2"/>
      </rPr>
      <t xml:space="preserve"> : </t>
    </r>
  </si>
  <si>
    <t>SKARGI</t>
  </si>
  <si>
    <t xml:space="preserve">Dane w tabeli należy przedstawić narastająco od początku realizacji Działania. </t>
  </si>
  <si>
    <t>Liczba pracowników o niskich kwalifikacjach, którzy zakończyli udział w projektach</t>
  </si>
  <si>
    <t>Działanie 4.3</t>
  </si>
  <si>
    <t>Liczba pracowników administracji publicznej, którzy ukończyli udział w projektach w zakresie poprawy jakości usług oraz polityk związanych z rejestracją działalności gospodarczej i funkcjonowaniem przedsiębiorstw w ramach projektu</t>
  </si>
  <si>
    <t>Odsetek dysponentów I stopnia środków budżetowych państwa, którzy byli objęci wsparciem w zakresie przygotowania i wdrożenia wieloletniego planowania budżetowego w ujęciu zadaniowym</t>
  </si>
  <si>
    <t>Wskaźnik efektywności zatrudnieniowej*</t>
  </si>
  <si>
    <t>*dot. działań obejmujących outplacement</t>
  </si>
  <si>
    <t>** dane w wierszu 3 dot. osób w wieku 15-24 lata dot. projektów, dla których wniosek o dofinansowanie został złożony do końca 2012 r., natomiast dane dot. osób w wieku 15-30 lata dot. projektów, dla których wniosek o dofinansowanie został złożony od początku 2013 r.</t>
  </si>
  <si>
    <t>Odsetek dysponentów II stopnia środków budżetowych państwa, którzy byli objęci wsparciem w zakresie przygotowania i wdrożenia wieloletniego planowania budżetowego w ujęciu zadaniowym</t>
  </si>
  <si>
    <t>Odsetek dysponentów III stopnia środków budżetowych państwa, którzy byli objęci wsparciem w zakresie przygotowania i wdrożenia wieloletniego planowania budżetowego w ujęciu zadaniowym</t>
  </si>
  <si>
    <t>Liczba pracowników administracji samorządowej, którzy ukończyli udział w projektach w zakresie poprawy zdolności regulacyjnych w ramach projektu</t>
  </si>
  <si>
    <t xml:space="preserve">Liczba instytucji administracji publicznej, które były objęte wsparciem w zakresie poprawy standardów zarządzania w podziale na: </t>
  </si>
  <si>
    <t>Odsetek dysponentów środków budżetów JST, którzy byli objęci wsparciem w zakresie przygotowania i wdrożenia wieloletniego planowania budżetowego w ujęciu zadaniowym</t>
  </si>
  <si>
    <t>Liczba centrów wsparcia organizacji pozarządowych nowoutworzonych lub wspartych w ramach projektu</t>
  </si>
  <si>
    <t xml:space="preserve">Liczba kwalifikacji odniesionych do poziomów w Polskich Ramach Kwalifikacji </t>
  </si>
  <si>
    <t>Działanie 3.5</t>
  </si>
  <si>
    <t>Liczba szkół i przedszkoli objętych pilotażem w zakresie zmodernizowanego systemu doskonalenia nauczycieli jako elementu wsparcia, w podziale na:</t>
  </si>
  <si>
    <t>a) szkoły</t>
  </si>
  <si>
    <t xml:space="preserve">b) przedszkola </t>
  </si>
  <si>
    <t xml:space="preserve">Liczba szkół podstawowych, które zrealizowały projekty dotyczące indywidualizacji nauczania </t>
  </si>
  <si>
    <t>Działanie 9.6</t>
  </si>
  <si>
    <t>Liczba osób, które skorzystały z instrumentów zwrotnych</t>
  </si>
  <si>
    <t>Osiągnięta wartość wskaźnika efektywności zatrudnieniowej w ramach Działania (%)</t>
  </si>
  <si>
    <t>Liczba osób dorosłych w wieku 25-64 lat, które uczestniczyły w kształceniu ustawicznym w ramach Działania</t>
  </si>
  <si>
    <r>
      <t xml:space="preserve">Zgodnie ze </t>
    </r>
    <r>
      <rPr>
        <i/>
        <sz val="9"/>
        <rFont val="Arial"/>
        <family val="2"/>
      </rPr>
      <t>Szczegółowym Opisem Priorytetów PO KL</t>
    </r>
    <r>
      <rPr>
        <sz val="9"/>
        <rFont val="Arial"/>
        <family val="2"/>
      </rPr>
      <t xml:space="preserve"> ilekroć jest mowa o przedsiębiorcy, rozumie się przez to przedsiębiorcę w rozumieniu art. 4 ustawy z dnia 2 lipca 2004 r. o swobodzie działalności gospodarczej (Dz. U. z 2010 r. Nr 220, poz. 1447), który stanowi, że przedsiębiorcą jest osoba fizyczna, osoba prawna i jednostka organizacyjna nie będąca osobą prawną, której odrębna ustawa przyznaje zdolność prawną - wykonująca we własnym imieniu działalność gospodarczą. Za przedsiębiorców uznaje się także wspólników spółki cywilnej w zakresie wykonywanej przez nich działalności gospodarczej. Działalnością gospodarczą jest zarobkowa działalność wytwórcza, budowlana, handlowa, usługowa oraz poszukiwanie, rozpoznawanie i wydobywanie kopalin ze złóż, a także działalność zawodowa, wykonywana w sposób zorganizowany i ciągły (art. 2), z zastrzeżeniem art. 3.</t>
    </r>
  </si>
  <si>
    <r>
      <t xml:space="preserve">Docelowa wartość wskaźnika – </t>
    </r>
    <r>
      <rPr>
        <sz val="9"/>
        <rFont val="Arial"/>
        <family val="2"/>
      </rPr>
      <t xml:space="preserve">wartość określona na 2013 rok. Dla wybranych wskaźników monitorowanych w niniejszym sprawozdaniu nie określono wartości docelowych, w związku z czym w kolumnie 3 wskazano </t>
    </r>
    <r>
      <rPr>
        <i/>
        <sz val="9"/>
        <rFont val="Arial"/>
        <family val="2"/>
      </rPr>
      <t xml:space="preserve">"Nie określono", 
</t>
    </r>
    <r>
      <rPr>
        <sz val="9"/>
        <rFont val="Arial"/>
        <family val="2"/>
      </rPr>
      <t xml:space="preserve">zaś w kolumnie 10 – </t>
    </r>
    <r>
      <rPr>
        <i/>
        <sz val="9"/>
        <rFont val="Arial"/>
        <family val="2"/>
      </rPr>
      <t>"Nie dotyczy".</t>
    </r>
    <r>
      <rPr>
        <b/>
        <sz val="9"/>
        <rFont val="Arial"/>
        <family val="2"/>
      </rPr>
      <t xml:space="preserve">
Stopień realizacji wskaźnika </t>
    </r>
    <r>
      <rPr>
        <sz val="9"/>
        <rFont val="Arial"/>
        <family val="2"/>
      </rPr>
      <t>– wyrażony w % jest relacją osiągniętej wartości wskaźnika w stosunku do jego wartości docelowej.</t>
    </r>
  </si>
  <si>
    <t>Liczba przedsiębiorstw, które zostały objęte wsparciem w zakresie projektów szkoleniowych</t>
  </si>
  <si>
    <t xml:space="preserve"> Liczba osób zwolnionych w przedsiębiorstwach dotkniętych procesami restrukturyzacyjnymi, którzy zostali objęci działaniami szybkiego reagowania</t>
  </si>
  <si>
    <t>Liczba przedsiębiorstw, którym udzielono wsparcia w zakresie skutecznego przewidywania i zarządzania zmianą</t>
  </si>
  <si>
    <t>- w tym osoby przebywające w zakładach poprawczych i schroniskach dla nieletnich</t>
  </si>
  <si>
    <t>Działanie 1.4</t>
  </si>
  <si>
    <t>Działanie 1.5</t>
  </si>
  <si>
    <t>Liczba podmiotów ekonomii społecznej, które skorzystały ze wsparcia finansowego w ramach Priorytetu</t>
  </si>
  <si>
    <t>Liczba osób, które powróciły na rynek pracy po przerwie związanej z urodzeniem/wychowaniem dziecka w wyniku udzielonego wsparcia w ramach Priorytetu</t>
  </si>
  <si>
    <t>Załącznik nr 9. Informacja o wykonaniu wskaźnika efektywności zatrudnieniowej w ramach Działania</t>
  </si>
  <si>
    <t xml:space="preserve">Liczba pracowników instytucji pomocy i integracji społecznej bezpośrednio zajmujących się aktywną integracją, którzy w wyniku wsparcia z EFS podnieśli swoje kwalifikacje </t>
  </si>
  <si>
    <t>Liczba instytucji wspierających ekonomię społeczną, które otrzymały wsparcie w ramach Działania, funkcjonujących co najmniej 2 lata po zakończeniu udziału w projekcie</t>
  </si>
  <si>
    <t>Liczba podmiotów ekonomii społecznej, które otrzymały wsparcie z EFS za pośrednictwem instytucji wspierających ekonomię społeczną</t>
  </si>
  <si>
    <t>Liczba podmiotów ekonomii społecznej utworzonych dzięki wsparciu z EFS</t>
  </si>
  <si>
    <t>Działanie 7.4</t>
  </si>
  <si>
    <t>Liczba osób niepełnosprawnych, które zakończyły udział w projektach realizowanych w ramach Działania</t>
  </si>
  <si>
    <r>
      <t xml:space="preserve">Tabela 7.1 Wartość udzielonej (umowy/decyzje) i wypłaconej pomocy publicznej oraz pomocy </t>
    </r>
    <r>
      <rPr>
        <b/>
        <i/>
        <sz val="11"/>
        <rFont val="Arial"/>
        <family val="2"/>
      </rPr>
      <t>de minimis</t>
    </r>
    <r>
      <rPr>
        <b/>
        <sz val="11"/>
        <rFont val="Arial"/>
        <family val="2"/>
      </rPr>
      <t xml:space="preserve"> od uruchomienia Programu Operacyjnego Kapitał Ludzki w podziale na Działania i podstawę udzielenia pomocy (na podstawie KSI SIMIK 07-13)</t>
    </r>
  </si>
  <si>
    <r>
      <t xml:space="preserve">Tabela 7.2 Wartość udzielonej (umowy/decyzje) i wypłaconej pomocy publicznej oraz pomocy </t>
    </r>
    <r>
      <rPr>
        <b/>
        <i/>
        <sz val="11"/>
        <rFont val="Arial"/>
        <family val="2"/>
      </rPr>
      <t>de minimis</t>
    </r>
    <r>
      <rPr>
        <b/>
        <sz val="11"/>
        <rFont val="Arial"/>
        <family val="2"/>
      </rPr>
      <t xml:space="preserve"> na rzecz mikro, małych i średnich przedsiębiorstw (MŚP) od uruchomienia Programu Operacyjnego Kapitał Ludzki w podziale na Działania</t>
    </r>
  </si>
  <si>
    <t>Załącznik nr 8. Protesty/ odwołania</t>
  </si>
  <si>
    <t>Liczba przedstawicieli partnerów społecznych, którzy zostali objęci wsparciem w ramach Działania</t>
  </si>
  <si>
    <t>Grupa docelowa</t>
  </si>
  <si>
    <t>Liczba osób, które znalazły lub kontynuują zatrudnienie</t>
  </si>
  <si>
    <t>10=(7/4)*100</t>
  </si>
  <si>
    <t>11=(8/5)*100</t>
  </si>
  <si>
    <t>Wskaźnik efektywności zatrudnieniowej ogółem</t>
  </si>
  <si>
    <t>w tym osoby niekwalifikujące się do żadnej z poniższych grup docelowych (pkt. 3-6)</t>
  </si>
  <si>
    <t>w tym osoby w wieku 50-64 lata</t>
  </si>
  <si>
    <t>Wskaźnik efektywności zatrudnieniowej</t>
  </si>
  <si>
    <t>Liczba osób, które otrzymały bezzwrotne dotacje</t>
  </si>
  <si>
    <t>a) w tym w zakresie form szkolnych</t>
  </si>
  <si>
    <t xml:space="preserve">b) w tym w zakresie języków obcych </t>
  </si>
  <si>
    <t>c) w tym w zakresie ICT</t>
  </si>
  <si>
    <t>Liczba osób dorosłych, które skorzystały z usług doradztwa edukacyjno-szkoleniowego</t>
  </si>
  <si>
    <t xml:space="preserve">13. liczba wniosków, do których złożono skargę do WSA: </t>
  </si>
  <si>
    <t xml:space="preserve">14. liczba wniosków, do których złożono skargę do NSA: </t>
  </si>
  <si>
    <t>UWAGI DOTYCZĄCE SPOSOBU WYPEŁNIANIA TABELI:</t>
  </si>
  <si>
    <t xml:space="preserve">(1) - przy ustalaniu danych liczbowych należy brać pod uwagę datę wpływu wniosku do instytucji. </t>
  </si>
  <si>
    <t xml:space="preserve">(2) - w tym wnioski cofnięte z oceny merytorycznej.   </t>
  </si>
  <si>
    <t>(3) - przy ustalaniu danych liczbowych należy brać pod uwagę datę nadania w urzędzie pisma zawierającego informacje o wyniku rozpatrzenia  - datę kancelaryjną.</t>
  </si>
  <si>
    <t xml:space="preserve">(4) - przy ustalaniu danych liczbowych należy brać pod uwagę datę zatwierdzenia odpowiedniej listy rankingowej przez właściwy organ. </t>
  </si>
  <si>
    <t xml:space="preserve">(5) - przy ustalaniu danych liczbowych należy brać pod uwagę stan na dzień rozpoczęcia prac KOP. </t>
  </si>
  <si>
    <t xml:space="preserve">(6) - należy uwzględnić jedynie wnioski, którym zgodnie z systemem realizacji PO KL przysługuje wniesienie środka odwoławczego od wyniku oceny merytorycznej.   </t>
  </si>
  <si>
    <r>
      <t xml:space="preserve">(7) - liczba przypadków, gdy </t>
    </r>
    <r>
      <rPr>
        <u val="single"/>
        <sz val="10"/>
        <rFont val="Arial"/>
        <family val="2"/>
      </rPr>
      <t>do tego samego wniosku</t>
    </r>
    <r>
      <rPr>
        <sz val="10"/>
        <rFont val="Arial"/>
        <family val="2"/>
      </rPr>
      <t xml:space="preserve"> </t>
    </r>
    <r>
      <rPr>
        <sz val="10"/>
        <rFont val="Arial"/>
        <family val="2"/>
      </rPr>
      <t>złożono protest od oceny formalnej i merytorycznej.</t>
    </r>
  </si>
  <si>
    <t xml:space="preserve">Liczba osób, które otrzymały wsparcie w ramach instytucji ekonomii społecznej </t>
  </si>
  <si>
    <t>- w tym na obszarach miejskich</t>
  </si>
  <si>
    <t>- w tym na obszarach wiejskich</t>
  </si>
  <si>
    <t>- w tym nauczyciele na obszarach wiejskich</t>
  </si>
  <si>
    <t>- w tym nauczyciele kształcenia zawodowego</t>
  </si>
  <si>
    <t>ponadgimnazjalne</t>
  </si>
  <si>
    <t>Liczba programów profilaktycznych oraz programów wspierających powrót do pracy opracowanych w ramach Działania</t>
  </si>
  <si>
    <t>Liczba pielęgniarek i położnych, które ukończyły studia pomostowe w ramach Działania</t>
  </si>
  <si>
    <t>Liczba lekarzy deficytowych specjalizacji, którzy ukończyli w ramach Działania pełen cykl kursów w ramach realizacji programu specjalizacji</t>
  </si>
  <si>
    <t>Liczba przedstawicieli kadry zarządzającej oraz dysponentów środków publicznych w sektorze zdrowia, którzy zakończyli szkolenie z zakresu zarządzania w ramach Działania</t>
  </si>
  <si>
    <t>Liczba jednostek służby zdrowia, których przedstawiciele kadry zarządzającej ukończyli szkolenia z zakresu zarządzania w ramach Działania</t>
  </si>
  <si>
    <t>Liczba jednostek prowadzących doskonalenie nauczycieli, które otrzymały wsparcie w ramach Działania w celu uzyskania akredytacji</t>
  </si>
  <si>
    <t>mikro</t>
  </si>
  <si>
    <t>Liczba nauczycieli kształcenia zawodowego oraz instruktorów praktycznej nauki zawodu, którzy uczestniczyli w trwających co najmniej dwa tygodnie stażach i praktykach w przedsiębiorstwach w ramach Działania</t>
  </si>
  <si>
    <t>Liczba instytucji szkolnictwa wyższego, które wdrożyły modele zarządzania jakością i kontroli jakości w ramach Działania</t>
  </si>
  <si>
    <t>Liczba pracowników sektora B+R, którzy ukończyli szkolenie w zakresie zarządzania badaniami naukowymi i komercjalizacji wyników prac badawczo-rozwojowych w ramach Działania</t>
  </si>
  <si>
    <t>Liczba przedsiębiorstw, których pracownicy zakończyli udział w szkoleniach w ramach Działania</t>
  </si>
  <si>
    <t>Liczba ośrodków wychowania przedszkolnego, które uzyskały wsparcie w ramach Działania</t>
  </si>
  <si>
    <t>Liczba nauczycieli, którzy uczestniczyli w doskonaleniu zawodowym w krótkich formach</t>
  </si>
  <si>
    <t>Liczba uczniów w szkołach prowadzących kształcenie zawodowe, którzy zakończyli udział w stażach i praktykach w ramach Działania</t>
  </si>
  <si>
    <t>w tym zatrudnieni w administracji publicznej</t>
  </si>
  <si>
    <t>w tym zatrudnieni w organizacjach pozarządowych</t>
  </si>
  <si>
    <t>…</t>
  </si>
  <si>
    <t>Rodzaj przedsiębiorstwa</t>
  </si>
  <si>
    <t>Wykształcenia</t>
  </si>
  <si>
    <t>Liczba osób, które:</t>
  </si>
  <si>
    <t>rozpoczęły udział w projektach 
realizowanych w ramach Działania</t>
  </si>
  <si>
    <t>zakończyły udział w projektach realizowanych w ramach 
Działania</t>
  </si>
  <si>
    <t>kontynuują udział w projektach 
realizowanych w ramach Działania na koniec okresu objętego sprawozdaniem</t>
  </si>
  <si>
    <t>przerwały udział w projektach realizowanych w ramach 
Działania</t>
  </si>
  <si>
    <t xml:space="preserve">Liczba przedsiębiorstw </t>
  </si>
  <si>
    <t>w tym osoby z terenów wiejskich</t>
  </si>
  <si>
    <t>osoby młode (15-24 lata)</t>
  </si>
  <si>
    <t xml:space="preserve">Małe przedsiębiorstwa </t>
  </si>
  <si>
    <t>Średnie przedsiębiorstwa</t>
  </si>
  <si>
    <t>w tym zatrudnieni 
w małych przedsiębiorstwach</t>
  </si>
  <si>
    <t>w tym zatrudnieni 
w średnich przedsiębiorstwach</t>
  </si>
  <si>
    <t>Liczba pracowników nadzoru pedagogicznego, którzy zakończyli udział w projekcie w ramach Działania</t>
  </si>
  <si>
    <t>Liczba szkół i placówek kształcenia zawodowego, które wdrożyły programy rozwojowe</t>
  </si>
  <si>
    <t>Liczba dzieci w wieku 3-5 lat, które uczestniczyły w różnych formach edukacji przedszkolnej na obszarach wiejskich</t>
  </si>
  <si>
    <t>6=7+8+9</t>
  </si>
  <si>
    <t>Nie określono</t>
  </si>
  <si>
    <t>Działanie 1.1</t>
  </si>
  <si>
    <t>W przypadku projektów systemowych realizowanych w ramach Poddziałania 6.1.3 w tabeli należy uwzględniać wartości narastająco od początku realizacji projektu.</t>
  </si>
  <si>
    <t>Nr Działania</t>
  </si>
  <si>
    <t>UWAGA:
W tabeli należy ujmować przedsiębiorstwa, które otrzymały wsparcie w formie doposażenia i wyposażenia stanowisk pracy dla skierowanych bezrobotnych w ramach Poddziałania 6.1.3.</t>
  </si>
  <si>
    <t xml:space="preserve">Monitorowanie pomocy publicznej powinno być prowadzone zgodne z zasadami określonymi w:
1. rozporządzeniu Ministra Rozwoju Regionalnego w sprawie udzielania pomocy publicznej w ramach Programu Operacyjnego Kapitał Ludzki, 
2. rozporządzeniach wykonawczych do ustawy z dnia 20 kwietnia 2004 r. o promocji zatrudnienia i instytucjach rynku pracy oraz ustawy z dnia 27 sierpnia 1997 r. o rehabilitacji zawodowej i społecznej oraz zatrudnianiu osób niepełnosprawnych,
3. w rozporządzeniu Ministra Rozwoju Regionalnego w sprawie udzielania przez Polską Agencję Rozwoju Przedsiębiorczości pomocy finansowej w ramach Programu Operacyjnego Kapitał Ludzki. </t>
  </si>
  <si>
    <t>Program pomocowy/ inna podstawa udzielenia pomocy</t>
  </si>
  <si>
    <t>wg podpisanych umów / wydanych decyzji</t>
  </si>
  <si>
    <t>wg zrealizowanych wniosków o płatność</t>
  </si>
  <si>
    <t>kwota ogółem 
MŚP</t>
  </si>
  <si>
    <t>w tym wg wielkości przedsiębiorstwa</t>
  </si>
  <si>
    <t>małe</t>
  </si>
  <si>
    <t>średnie</t>
  </si>
  <si>
    <t>kwota</t>
  </si>
  <si>
    <t>Działanie 1.2</t>
  </si>
  <si>
    <t>Działanie 1.3</t>
  </si>
  <si>
    <t>Działanie 2.1</t>
  </si>
  <si>
    <t>Działanie 2.2</t>
  </si>
  <si>
    <t>Działanie 2.3</t>
  </si>
  <si>
    <t>Działanie 3.1</t>
  </si>
  <si>
    <t>Działanie 3.2</t>
  </si>
  <si>
    <t>Działanie 3.3</t>
  </si>
  <si>
    <t>Działanie 3.4</t>
  </si>
  <si>
    <t>Działanie 4.1</t>
  </si>
  <si>
    <t>Liczba studentów, którzy ukończyli staże lub praktyki, wspierane ze środków EFS w ramach Działania</t>
  </si>
  <si>
    <t>Liczba studentów, którzy ukończyli staże lub praktyki trwające co najmniej 3 miesiące</t>
  </si>
  <si>
    <t>Działanie 4.2</t>
  </si>
  <si>
    <t>Działanie 5.1</t>
  </si>
  <si>
    <t>-  w tym ministerstwa i urzędy centralne</t>
  </si>
  <si>
    <t>-  w tym urzędy wojewódzkie</t>
  </si>
  <si>
    <t>Działanie 5.2</t>
  </si>
  <si>
    <t>Działanie 5.4</t>
  </si>
  <si>
    <t>Liczba przedstawicieli organizacji pozarządowych, którzy ukończyli udział w projekcie w ramach Działania</t>
  </si>
  <si>
    <t>Działanie 5.5</t>
  </si>
  <si>
    <t>Liczba przedstawicieli partnerów społecznych, którzy ukończyli udział w projekcie w ramach Działania</t>
  </si>
  <si>
    <t>Działanie 6.1</t>
  </si>
  <si>
    <t>- w tym liczba osób znajdujących się w szczególnie trudnej sytuacji na rynku pracy</t>
  </si>
  <si>
    <t xml:space="preserve">    a) w tym liczba osób niepełnosprawnych </t>
  </si>
  <si>
    <t xml:space="preserve">    b) w tym liczba osób długotrwale bezrobotnych</t>
  </si>
  <si>
    <t xml:space="preserve">    c) w tym liczba osób z terenów wiejskich</t>
  </si>
  <si>
    <t xml:space="preserve">    c) w tym liczba osób z terenów wiejskich </t>
  </si>
  <si>
    <t>- w tym przekazanych osobom znajdującym się w szczególnie trudnej sytuacji na rynku pracy</t>
  </si>
  <si>
    <t xml:space="preserve">    a) w tym osobom niepełnosprawnym </t>
  </si>
  <si>
    <t xml:space="preserve">    b) w tym osobom długotrwale bezrobotnym</t>
  </si>
  <si>
    <t xml:space="preserve">    b) w tym osobom z terenów wiejskich</t>
  </si>
  <si>
    <t>Działanie 6.2</t>
  </si>
  <si>
    <t xml:space="preserve">    c) w tym osobom z terenów wiejskich</t>
  </si>
  <si>
    <t>Działanie 6.3</t>
  </si>
  <si>
    <t>Działanie 7.1</t>
  </si>
  <si>
    <t>Działanie 7.2</t>
  </si>
  <si>
    <t>Liczba osób zagrożonych wykluczeniem społecznym, które zakończyły udział w Działaniu</t>
  </si>
  <si>
    <t>Działanie 7.3</t>
  </si>
  <si>
    <t>Działanie 8.1</t>
  </si>
  <si>
    <t>Działanie 8.2</t>
  </si>
  <si>
    <t>Działanie 9.1</t>
  </si>
  <si>
    <t>Działanie 9.2</t>
  </si>
  <si>
    <t>Działanie 9.4</t>
  </si>
  <si>
    <t>Działanie 9.5</t>
  </si>
  <si>
    <t>Liczba oddolnych inicjatyw społecznych podejmowanych  w ramach Działania</t>
  </si>
  <si>
    <t>Numer Działania</t>
  </si>
  <si>
    <t>Nie dotyczy</t>
  </si>
  <si>
    <t>Liczba przedsiębiorstw i osób zamierzających rozpocząć działalność gospodarczą, które skorzystały z usług świadczonych w akredytowanych instytucjach</t>
  </si>
  <si>
    <t>Liczba osób, które ukończyły udział w stażach lub szkoleniach praktycznych w podziale na:</t>
  </si>
  <si>
    <t>- pracowników przedsiębiorstw w jednostkach naukowych</t>
  </si>
  <si>
    <t xml:space="preserve">- pracowników naukowych w przedsiębiorstwach </t>
  </si>
  <si>
    <t>w tym osoby należące do mniejszości narodowych i etnicznych</t>
  </si>
  <si>
    <t>Inne wskaźniki określone dla Działania w Planie Działania</t>
  </si>
  <si>
    <t>Kolumna 3 przedstawia liczbę przedsiębiorstw, które przystąpiły do udziału w projektach realizowanych w ramach Działania w okresie sprawozdawczym, zaś kolumna 4 przedstawia liczbę przedsiębiorstw narastająco.</t>
  </si>
  <si>
    <t>Mikroprzedsiębiorstwa 
(w tym samozatrudnieni)*</t>
  </si>
  <si>
    <t>..</t>
  </si>
  <si>
    <t>Jeśli dane dotyczące wskaźników w okresie składania sprawozdania nie są dostępne, należy pod tabelą zamieścić komentarz, w jakim terminie będą mogły zostać przedstawione.</t>
  </si>
  <si>
    <t>K – kobiety, M – mężczyźni</t>
  </si>
  <si>
    <t>Liczba urzędów administracji rządowej, które były objęte wsparciem w zakresie poprawy standarów zarządzania</t>
  </si>
  <si>
    <t>Zakres monitorowania poziomu wykształcenia uczestników projektów PO KL wynika z załącznika XXIII do rozporządzenia KE nr 1828/2006 z dnia 8 grudnia 2006 r. i oparty jest o klasyfikację ISCED, tj. Międzynarodową Standardową Klasyfikację Kształcenia (International Standard Clasification of Education, w skrócie ISCED).</t>
  </si>
  <si>
    <t>Mr – wartość wskaźnika osiągnięta w okresie sprawozdawczym (wg stanu na koniec tego okresu)</t>
  </si>
  <si>
    <t>Nazwa instytucji</t>
  </si>
  <si>
    <t>Okres sprawozdawczy</t>
  </si>
  <si>
    <t>Ogółem</t>
  </si>
  <si>
    <t>Data:</t>
  </si>
  <si>
    <t>Pieczęć i podpis osoby upoważnionej:</t>
  </si>
  <si>
    <t>Nazwa wskaźnika</t>
  </si>
  <si>
    <t>K</t>
  </si>
  <si>
    <t>M</t>
  </si>
  <si>
    <t>Komentarz</t>
  </si>
  <si>
    <t>M – Mężczyźni, K – Kobiety</t>
  </si>
  <si>
    <t>Mr – wartość wskaźnika osiągnięta w okresie objętym sprawozdaniem (wg stanu na koniec tego okresu)</t>
  </si>
  <si>
    <t>Mp – wartość wskaźnika osiągnięta od początku realizacji Działania</t>
  </si>
  <si>
    <t>Okres</t>
  </si>
  <si>
    <t>Mr</t>
  </si>
  <si>
    <t>Mp</t>
  </si>
  <si>
    <t>Lp.</t>
  </si>
  <si>
    <t>Status osoby na rynku pracy</t>
  </si>
  <si>
    <t xml:space="preserve"> Bezrobotni</t>
  </si>
  <si>
    <t>w tym osoby długotrwale bezrobotne</t>
  </si>
  <si>
    <t>Osoby nieaktywne zawodowo</t>
  </si>
  <si>
    <t>w tym osoby uczące lub kształcące się</t>
  </si>
  <si>
    <t>Zatrudnieni</t>
  </si>
  <si>
    <t>w tym samozatrudnieni</t>
  </si>
  <si>
    <t>w tym zatrudnieni 
w mikroprzedsiębiorstwach</t>
  </si>
  <si>
    <t>w tym zatrudnieni 
w dużych przedsiębiorstwach</t>
  </si>
  <si>
    <t>Duże przedsiębiorstwa</t>
  </si>
  <si>
    <t>w tym osoby niepełnosprawne</t>
  </si>
  <si>
    <t>w tym migranci</t>
  </si>
  <si>
    <t>PRIORYTET I</t>
  </si>
  <si>
    <t>Liczba kluczowych pracowników PSZ, którzy w wyniku udzielonego wsparcia podnieśli swoje kwalifikacje</t>
  </si>
  <si>
    <t>Liczba kluczowych pracowników instytucji pomocy społecznej, którzy w wyniku udzielonego wsparcia podnieśli swoje kwalifikacje</t>
  </si>
  <si>
    <t>PRIORYTET II</t>
  </si>
  <si>
    <t>Liczba pracowników przedsiębiorstw, którzy zakończyli udział w projektach szkoleniowych</t>
  </si>
  <si>
    <t>Liczba pracowników zagrożonych negatywnymi skutkami procesów restrukturyzacji (zmiany gospodarczej), którzy zostali objęci działaniami szybkiego reagowania</t>
  </si>
  <si>
    <t>PRIORYTET III</t>
  </si>
  <si>
    <t>PRIORYTET IV</t>
  </si>
  <si>
    <t>Liczba programów rozwojowych wdrożonych przez uczelnie w ramach Działania</t>
  </si>
  <si>
    <t>Liczba uczelni, które wdrożyły programy rozwojowe</t>
  </si>
  <si>
    <t>Liczba studentów I roku na kierunkach zamawianych przez ministra właściwego ds. szkolnictwa wyższego</t>
  </si>
  <si>
    <t>Liczba absolwentów kierunków matematyczno-przyrodniczych i technicznych,  zamawianych przez ministra właściwego ds. szkolnictwa wyższego</t>
  </si>
  <si>
    <t>PRIORYTET V</t>
  </si>
  <si>
    <t>PRIORYTET VI</t>
  </si>
  <si>
    <t>Liczba osób, które zakończyły udział w projektach realizowanych w ramach Działania</t>
  </si>
  <si>
    <t>PRIORYTET VII</t>
  </si>
  <si>
    <t xml:space="preserve">Liczba klientów instytucji pomocy społecznej, którzy zakończyli udział w projektach dotyczących aktywnej integracji </t>
  </si>
  <si>
    <t>PRIORYTET VIII</t>
  </si>
  <si>
    <t>Liczba pracujących osób dorosłych, które zakończyły udział w projektach szkoleniowych</t>
  </si>
  <si>
    <t>Liczba pracowników zagrożonych negatywnymi skutkami procesów restrukturyzacji w przedsiębiorstwach, którzy zostali objęci działaniami szybkiego reagowania</t>
  </si>
  <si>
    <t>Liczba doktorantów, którzy otrzymali stypendia naukowe</t>
  </si>
  <si>
    <t>PRIORYTET IX</t>
  </si>
  <si>
    <t>Liczba instytucji pomocy społecznej, które uczestniczyły w projektach systemowych, mających na celu wdrożenie standardów usług</t>
  </si>
  <si>
    <t>Liczba przedsiębiorstw, które zostały objęte wsparciem</t>
  </si>
  <si>
    <r>
      <t xml:space="preserve">Załącznik nr 7. Wartość udzielonej i wypłaconej pomocy publicznej oraz pomocy </t>
    </r>
    <r>
      <rPr>
        <b/>
        <i/>
        <sz val="11"/>
        <rFont val="Arial"/>
        <family val="2"/>
      </rPr>
      <t>de minimis</t>
    </r>
    <r>
      <rPr>
        <b/>
        <sz val="11"/>
        <rFont val="Arial"/>
        <family val="2"/>
      </rPr>
      <t xml:space="preserve"> w ramach Programu Operacyjnego Kapitał Ludzki (w PLN)</t>
    </r>
  </si>
  <si>
    <t>Liczba przedsiębiorstw, które inwestowały w szkolenia pracowników dzięki wsparciu EFS</t>
  </si>
  <si>
    <t xml:space="preserve">Liczba organizacji reprezentatywnych partnerów społecznych, które otrzymały wsparcie </t>
  </si>
  <si>
    <t>Liczba chorób zawodowych (wg jednostek chorobowych), dla których opracowano programy profilaktyczne i programy wspierające powrót do pracy</t>
  </si>
  <si>
    <t>Liczba szkół, w których upowszechniono narzędzie i metodologię pomiaru EWD (edukacyjnej wartości dodanej)</t>
  </si>
  <si>
    <t>Liczba jednostek prowadzących kształcenie nauczycieli (tj. szkół wyższych oraz kolegiów nauczycielskich), które zastosowały nowe formy i zasady kształcenia nauczycieli</t>
  </si>
  <si>
    <t>Liczba osób, które otrzymały:</t>
  </si>
  <si>
    <t xml:space="preserve">Liczba utworzonych miejsc pracy w ramach udzielonych z EFS środków na podjęcie działalności gospodarczej </t>
  </si>
  <si>
    <t xml:space="preserve">Liczba podstaw programowych na poziomie szkoły podstawowej, gimnazjum i szkoły ponadgimnazjalnej objętych przeglądem w celu lepszego ich zorientowania na potrzeby rynku pracy  </t>
  </si>
  <si>
    <t xml:space="preserve">Liczba opracowanych i upowszechnionych innowacyjnych programów nauczania w zakresie przedsiębiorczości, przedmiotów matematyczno-przyrodniczych i technicznych  </t>
  </si>
  <si>
    <t>Liczba uczelni oferujących dodatkowe zajęcia wyrównawcze dla studentów I roku kierunków matematyczno-przyrodniczych i technicznych</t>
  </si>
  <si>
    <t>Liczba powiatów, na terenie których wdrożono programy z zakresu bezpłatnego poradnictwa prawnego i obywatelskiego</t>
  </si>
  <si>
    <t>Liczba reprezentatywnych organizacji partnerów społecznych, które były objęte wsparciem w zakresie budowania ich potencjału</t>
  </si>
  <si>
    <t>Liczba szkół (podstawowych, gimnazjów i ponadgimnazjalnych prowadzących kształcenie ogólne), które zrealizowały projekty rozwojowe w ramach Działania</t>
  </si>
  <si>
    <t xml:space="preserve">Liczba szkół i placówek kształcenia zawodowego, które współpracowały z przedsiębiorstwami w zakresie wdrażania programów rozwojowych </t>
  </si>
  <si>
    <t xml:space="preserve">Liczba utworzonych miejsc pracy w  ramach udzielonych z EFS środków na podjęcie działalności gospodarczej </t>
  </si>
  <si>
    <t>Przedział wiekowy</t>
  </si>
  <si>
    <t>w tym rolnicy</t>
  </si>
  <si>
    <t>pomaturalne</t>
  </si>
  <si>
    <t>wyższe</t>
  </si>
  <si>
    <t>podstawowe, gimnazjalne
i niższe</t>
  </si>
  <si>
    <t>L.p.</t>
  </si>
  <si>
    <t>Wartość docelowa wskaźnika</t>
  </si>
  <si>
    <t>Stopień realizacji wskaźnika</t>
  </si>
  <si>
    <t>10=(9/3)*100</t>
  </si>
  <si>
    <t>Liczba instytucji publicznych służb zatrudnienia, które uczestniczyły w projektach mających na celu wdrożenie standardów usług</t>
  </si>
  <si>
    <r>
      <t>liczba osób, które zakończyły udział w Działaniu</t>
    </r>
    <r>
      <rPr>
        <sz val="9"/>
        <rFont val="Arial"/>
        <family val="2"/>
      </rPr>
      <t xml:space="preserve"> - dot. uczestników, którzy zakończyli udział w Działaniu od roku, w którym w Planach działania wprowadzono kryteria dot. pomiaru efektywności zatrudnieniowej
</t>
    </r>
    <r>
      <rPr>
        <b/>
        <sz val="9"/>
        <rFont val="Arial"/>
        <family val="2"/>
      </rPr>
      <t>W kol. 3-5 należy wykazać osoby, nie wcześniej niż po upływie trzech miesięcy, licząc od dnia zakończenia uczestnictwa w Działaniu lub jeżeli dana osoba podjęła zatrudnienie</t>
    </r>
  </si>
  <si>
    <t>- w tym młodzież zagrożona wykluczeniem społecznym (15-25 lat)</t>
  </si>
  <si>
    <t>-  w tym więźniowie</t>
  </si>
  <si>
    <t>- w tym Romowie</t>
  </si>
  <si>
    <t>- w tym osoby niepełnosprawne</t>
  </si>
  <si>
    <t>- w tym liczba osób w wieku powyżej 50. roku życia</t>
  </si>
  <si>
    <t>- w tym onkolodzy</t>
  </si>
  <si>
    <t>- w tym kardiolodzy</t>
  </si>
  <si>
    <t>- w tym lekarze medycyny pracy</t>
  </si>
  <si>
    <t xml:space="preserve">- w tym publiczne instytucje szkolnictwa wyższego </t>
  </si>
  <si>
    <t>- w tym prywatne instytucje szkolnictwa wyższego</t>
  </si>
  <si>
    <t>- urzędy marszałkowskie</t>
  </si>
  <si>
    <t>- urzędy powiatowe</t>
  </si>
  <si>
    <t>- urzędy gmin</t>
  </si>
  <si>
    <t xml:space="preserve">- w tym liczba osób w wieku 15-24 lata </t>
  </si>
  <si>
    <t>- w tym liczba osób w wieku 15-24 lata zamieszkujących obszary wiejskie</t>
  </si>
  <si>
    <t xml:space="preserve">- w tym liczba osób w wieku 50-64 lata </t>
  </si>
  <si>
    <t xml:space="preserve">- w tym liczba osób, które zostały objęte Indywidualnym Planem Działania </t>
  </si>
  <si>
    <t xml:space="preserve">Liczba kluczowych pracowników PSZ, którzy zakończyli udział w szkoleniach realizowanych w systemie pozaszkolnym, istotnych z punktu widzenia regionalnego rynku pracy </t>
  </si>
  <si>
    <t>- w tym przekazanych osobom w wieku 15-24 lata</t>
  </si>
  <si>
    <t>- w tym przekazanych osobom w wieku 50-64 lata</t>
  </si>
  <si>
    <t>- w tym osoby z terenów wiejskich</t>
  </si>
  <si>
    <t>Liczba klientów instytucji pomocy społecznej objętych kontraktami socjalnymi w ramach realizowanych projektów</t>
  </si>
  <si>
    <t xml:space="preserve">6.1 Poprawa dostępu do zatrudnienia oraz wspieranie aktywności zawodowej w regionie
6.2 Wsparcie oraz promocja przedsiębiorczości i samozatrudnienia
6.3 Inicjatywy lokalne na rzecz podnoszenia poziomu aktywności zawodowej na obszarach wiejskich
</t>
  </si>
  <si>
    <t>Wojewódzki Urząd Pracy w Zielonej Górze</t>
  </si>
  <si>
    <t>Liczba osób należących do kadry szkoleniowej, które podniosły swoje kwalifikacje zgodnie z tzw. podejściem kompetencyjnym*</t>
  </si>
  <si>
    <t>Liczba jednostek służby zdrowia, które uzyskały akredytację Centrum Monitorowania Jakości w Ochronie Zdrowia w ramach Działania</t>
  </si>
  <si>
    <r>
      <t xml:space="preserve">Należy wypełnić w oparciu o dane z załącznika nr 2 </t>
    </r>
    <r>
      <rPr>
        <i/>
        <sz val="10"/>
        <rFont val="Calibri"/>
        <family val="2"/>
      </rPr>
      <t>"Szczegółowa charakterystyka udzielonego wsparcia"</t>
    </r>
    <r>
      <rPr>
        <sz val="10"/>
        <rFont val="Calibri"/>
        <family val="2"/>
      </rPr>
      <t xml:space="preserve"> wniosków o płatność zatwierdzonych i wprowadzonych do KSI SIMIK 07-13 wg stanu na koniec bieżącego okresu sprawozdawczego. W odniesieniu do projektów systemowych powiatowych urzędów pracy, ośrodków pomocy społecznej i powiatowych centrów pomocy rodzinie należy uwzględnić dane kumulatywne od początku okresu ich realizacji.</t>
    </r>
  </si>
  <si>
    <r>
      <t xml:space="preserve">Należy wypełnić w oparciu o dane z załącznika nr 2 </t>
    </r>
    <r>
      <rPr>
        <i/>
        <sz val="12"/>
        <rFont val="Calibri"/>
        <family val="2"/>
      </rPr>
      <t>"Szczegółowa charakterystyka udzielonego wsparcia"</t>
    </r>
    <r>
      <rPr>
        <sz val="12"/>
        <rFont val="Calibri"/>
        <family val="2"/>
      </rPr>
      <t xml:space="preserve"> wniosków o płatność zatwierdzonych i wprowadzonych do KSI SIMIK 07-13 wg stanu na koniec bieżącego okresu sprawozdawczego. W odniesieniu do projektów systemowych powiatowych urzędów pracy, ośrodków pomocy społecznej i powiatowych centrów pomocy rodzinie należy uwzględnić dane kumulatywne od początku okresu ich realizacji.</t>
    </r>
  </si>
  <si>
    <r>
      <t xml:space="preserve">Tabela stanowi uszczegółowienie informacji przekazanych w ramach załącznika nr 2 </t>
    </r>
    <r>
      <rPr>
        <i/>
        <sz val="12"/>
        <rFont val="Calibri"/>
        <family val="2"/>
      </rPr>
      <t>Przepływ uczestników projektów realizowanych w ramach Działania</t>
    </r>
    <r>
      <rPr>
        <sz val="12"/>
        <rFont val="Calibri"/>
        <family val="2"/>
      </rPr>
      <t xml:space="preserve">. Należy w niej uwzględnić każdą osobę, która rozpoczęła udział w projekcie. Jedna osoba może być wykazana tylko w ramach jednej z </t>
    </r>
    <r>
      <rPr>
        <b/>
        <sz val="12"/>
        <rFont val="Calibri"/>
        <family val="2"/>
      </rPr>
      <t>kategorii głównych</t>
    </r>
    <r>
      <rPr>
        <sz val="12"/>
        <rFont val="Calibri"/>
        <family val="2"/>
      </rPr>
      <t>. Kategorie główne prezentowane w tabeli są rozłączne.</t>
    </r>
  </si>
  <si>
    <r>
      <t xml:space="preserve">Uczestników projektów należy przypisać do poszczególnych kategorii/podkategorii zgodnie z definicjami określonymi 
w Instrukcji do wniosku o dofinansowanie projektu Program Operacyjny Kapitał Ludzki.
• W wierszach </t>
    </r>
    <r>
      <rPr>
        <i/>
        <sz val="12"/>
        <rFont val="Calibri"/>
        <family val="2"/>
      </rPr>
      <t>„Bezrobotni"</t>
    </r>
    <r>
      <rPr>
        <sz val="12"/>
        <rFont val="Calibri"/>
        <family val="2"/>
      </rPr>
      <t xml:space="preserve"> oraz </t>
    </r>
    <r>
      <rPr>
        <i/>
        <sz val="12"/>
        <rFont val="Calibri"/>
        <family val="2"/>
      </rPr>
      <t>„w tym osoby długotrwale bezrobotne"</t>
    </r>
    <r>
      <rPr>
        <sz val="12"/>
        <rFont val="Calibri"/>
        <family val="2"/>
      </rPr>
      <t xml:space="preserve"> należy monitorować uczestników projektu zgodnie z definicjami określonymi w Ustawie z dnia 20 kwietnia 2004 r. o promocji zatrudnienia i instytucjach rynku pracy.
• W wierszu </t>
    </r>
    <r>
      <rPr>
        <i/>
        <sz val="12"/>
        <rFont val="Calibri"/>
        <family val="2"/>
      </rPr>
      <t>„w tym osoby należące do mniejszości narodowych i etnicznych”</t>
    </r>
    <r>
      <rPr>
        <sz val="12"/>
        <rFont val="Calibri"/>
        <family val="2"/>
      </rPr>
      <t xml:space="preserve"> obowiązkowo należy wykazać uczestników projektów realizowanych w ramach Poddziałania 1.3.1. W wierszu </t>
    </r>
    <r>
      <rPr>
        <i/>
        <sz val="12"/>
        <rFont val="Calibri"/>
        <family val="2"/>
      </rPr>
      <t>„w tym migranci”</t>
    </r>
    <r>
      <rPr>
        <sz val="12"/>
        <rFont val="Calibri"/>
        <family val="2"/>
      </rPr>
      <t xml:space="preserve"> obowiązkowo należy wykazać uczestników projektów realizowanych w ramach Poddziałania 1.3.7. W wierszu </t>
    </r>
    <r>
      <rPr>
        <i/>
        <sz val="12"/>
        <rFont val="Calibri"/>
        <family val="2"/>
      </rPr>
      <t>„w tym osoby niepełnosprawne”</t>
    </r>
    <r>
      <rPr>
        <sz val="12"/>
        <rFont val="Calibri"/>
        <family val="2"/>
      </rPr>
      <t xml:space="preserve"> obowiązkowo należy wykazać uczestników projektów realizowanych w ramach Poddziałania 1.3.6, Priorytetu VI oraz Działania 7.4. W pozostałych projektach monitorowanie ww. podkategorii wynika z przyjętych założeń projektu określonych w pkt. 3.1 wniosku o dofinansowanie.
• W wierszu </t>
    </r>
    <r>
      <rPr>
        <i/>
        <sz val="12"/>
        <rFont val="Calibri"/>
        <family val="2"/>
      </rPr>
      <t>„w tym osoby z terenów wiejskich”</t>
    </r>
    <r>
      <rPr>
        <sz val="12"/>
        <rFont val="Calibri"/>
        <family val="2"/>
      </rPr>
      <t xml:space="preserve"> należy monitorować uczestników projektów realizowanych w ramach 
Priorytetów regionalnych (VI-IX) zgodnie z definicją określoną przez Główny Urząd Statystyczny i przedstawioną 
w </t>
    </r>
    <r>
      <rPr>
        <i/>
        <sz val="12"/>
        <rFont val="Calibri"/>
        <family val="2"/>
      </rPr>
      <t>Podręczniku wskaźników PO KL 2007-2013</t>
    </r>
    <r>
      <rPr>
        <sz val="12"/>
        <rFont val="Calibri"/>
        <family val="2"/>
      </rPr>
      <t>.</t>
    </r>
  </si>
  <si>
    <t>Priorytet VI</t>
  </si>
  <si>
    <t>nie dotyczy</t>
  </si>
  <si>
    <t>Rozporządzenie wydane na podstawie art. 21 ust. 3 ustawy z dnia 6 grudnia 2006 r. o zasadach prowadzenia polityki rozwoju (Dz. U. z 2009 r. Nr 84,poz. 712), tj.: Rozporządzenie Ministra Rozwoju Regionalnego z dnia 15 grudnia 2010 r. w sprawie udzielania pomocy publicznej w ramach Programu Operacyjnego Kapitał Ludzki (Dz. U. Nr 239, poz. 1598)</t>
  </si>
  <si>
    <r>
      <t xml:space="preserve">Pomoc publiczna oraz pomoc </t>
    </r>
    <r>
      <rPr>
        <b/>
        <i/>
        <sz val="10"/>
        <rFont val="Cambria"/>
        <family val="1"/>
      </rPr>
      <t>de minimis</t>
    </r>
    <r>
      <rPr>
        <b/>
        <sz val="10"/>
        <rFont val="Cambria"/>
        <family val="1"/>
      </rPr>
      <t xml:space="preserve"> udzialana na rzecz MŚP przez instytucje pełniące rolę pośredników</t>
    </r>
  </si>
  <si>
    <t>W 2012 r. wykazano o 2K i 1M za mało w kategorii osób długotrwale bezrobotnych.</t>
  </si>
  <si>
    <t>Komentarz dot. 6.3</t>
  </si>
  <si>
    <t>W 2012 r. wykazano za mało o 1K i za dużo o 1M  w kategorii osób z wykształceniem podstawowym, gimnazjalnym i niższym, oraz za dużo o 1K i za mało o 1M w kategorii osób z wykształceniem ponadgimnazjalnym</t>
  </si>
  <si>
    <t>Komentarz 6.3</t>
  </si>
  <si>
    <t>Ustawa z dnia 20 kwietnia 2004 r. o promocji zatrudnienia i instytucjach rynku pracy (Dz. U. z 2008 r. Nr 69, poz. 415, z późn. zm.) i rozporządzenia wykonawcze:                                                                                                                                           Rozporządzenie Ministra Pracy i Polityki Społecznej z dnia 17 kwietnia 2009 r. w sprawie dokonywania refundacji kosztów wyposażenia lub doposażenia stanowiska pracy dla skierowanego bezrobotnego oraz przyznawania bezrobotnemu
środków na podjęcie działalności gospodarczej (Dz.U.09.62.512 z późn. zm.)                                                                     Rozporządzenie Ministra Pracy i Polityki Społecznej z dnia 7 stycznia 2009 r. w sprawie organizowania prac interwencyjnych i robót publicznych oraz jednorazowej refundacji kosztów z tytułu opłacanych składek na ubezpieczenie społeczne (Dz. U. z 2009 r. 51 nr 5, poz. 25)</t>
  </si>
  <si>
    <t>2013 r.</t>
  </si>
  <si>
    <t>Komentarz dot. 6.2</t>
  </si>
  <si>
    <t>W 2012 r. wykazano o 1M za dużo w kategorii osób niepełnosprawnych.</t>
  </si>
  <si>
    <t>W ramach 6.1 kwota 68 600 została przekazana do dużych przedsiębiorstw (wartość pomocy publicznej wypłaconej dużym przedsiębiorstwom spadła w wyniku korekty dokonanej przez Beneficjenta).</t>
  </si>
</sst>
</file>

<file path=xl/styles.xml><?xml version="1.0" encoding="utf-8"?>
<styleSheet xmlns="http://schemas.openxmlformats.org/spreadsheetml/2006/main">
  <numFmts count="1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Red]#,##0.00"/>
    <numFmt numFmtId="165" formatCode="0.0%"/>
    <numFmt numFmtId="166" formatCode="&quot;Tak&quot;;&quot;Tak&quot;;&quot;Nie&quot;"/>
    <numFmt numFmtId="167" formatCode="&quot;Prawda&quot;;&quot;Prawda&quot;;&quot;Fałsz&quot;"/>
    <numFmt numFmtId="168" formatCode="&quot;Włączone&quot;;&quot;Włączone&quot;;&quot;Wyłączone&quot;"/>
    <numFmt numFmtId="169" formatCode="[$€-2]\ #,##0.00_);[Red]\([$€-2]\ #,##0.00\)"/>
  </numFmts>
  <fonts count="64">
    <font>
      <sz val="10"/>
      <name val="Arial"/>
      <family val="2"/>
    </font>
    <font>
      <sz val="8"/>
      <name val="Arial"/>
      <family val="2"/>
    </font>
    <font>
      <u val="single"/>
      <sz val="10"/>
      <color indexed="12"/>
      <name val="Arial"/>
      <family val="2"/>
    </font>
    <font>
      <u val="single"/>
      <sz val="10"/>
      <color indexed="36"/>
      <name val="Arial"/>
      <family val="2"/>
    </font>
    <font>
      <b/>
      <sz val="10"/>
      <name val="Arial"/>
      <family val="2"/>
    </font>
    <font>
      <b/>
      <sz val="11"/>
      <name val="Arial"/>
      <family val="2"/>
    </font>
    <font>
      <b/>
      <i/>
      <sz val="11"/>
      <name val="Arial"/>
      <family val="2"/>
    </font>
    <font>
      <sz val="11"/>
      <name val="Arial"/>
      <family val="2"/>
    </font>
    <font>
      <i/>
      <sz val="10"/>
      <name val="Arial"/>
      <family val="2"/>
    </font>
    <font>
      <b/>
      <i/>
      <sz val="10"/>
      <name val="Arial"/>
      <family val="2"/>
    </font>
    <font>
      <sz val="9"/>
      <name val="Arial"/>
      <family val="2"/>
    </font>
    <font>
      <i/>
      <sz val="9"/>
      <name val="Arial"/>
      <family val="2"/>
    </font>
    <font>
      <sz val="12"/>
      <name val="Arial"/>
      <family val="2"/>
    </font>
    <font>
      <b/>
      <sz val="9"/>
      <name val="Arial"/>
      <family val="2"/>
    </font>
    <font>
      <b/>
      <i/>
      <sz val="9"/>
      <name val="Arial"/>
      <family val="2"/>
    </font>
    <font>
      <sz val="7"/>
      <name val="Arial"/>
      <family val="2"/>
    </font>
    <font>
      <b/>
      <sz val="7"/>
      <name val="Arial"/>
      <family val="2"/>
    </font>
    <font>
      <b/>
      <sz val="8"/>
      <name val="Arial"/>
      <family val="2"/>
    </font>
    <font>
      <u val="single"/>
      <sz val="10"/>
      <name val="Arial"/>
      <family val="2"/>
    </font>
    <font>
      <sz val="10"/>
      <name val="Calibri"/>
      <family val="2"/>
    </font>
    <font>
      <i/>
      <sz val="10"/>
      <name val="Calibri"/>
      <family val="2"/>
    </font>
    <font>
      <b/>
      <sz val="12"/>
      <name val="Calibri"/>
      <family val="2"/>
    </font>
    <font>
      <sz val="12"/>
      <name val="Calibri"/>
      <family val="2"/>
    </font>
    <font>
      <i/>
      <sz val="12"/>
      <name val="Calibri"/>
      <family val="2"/>
    </font>
    <font>
      <b/>
      <sz val="10"/>
      <name val="Cambria"/>
      <family val="1"/>
    </font>
    <font>
      <b/>
      <i/>
      <sz val="10"/>
      <name val="Cambria"/>
      <family val="1"/>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b/>
      <i/>
      <sz val="12"/>
      <name val="Calibri"/>
      <family val="2"/>
    </font>
    <font>
      <b/>
      <sz val="10"/>
      <name val="Calibri"/>
      <family val="2"/>
    </font>
    <font>
      <sz val="8"/>
      <name val="Calibri"/>
      <family val="2"/>
    </font>
    <font>
      <sz val="10"/>
      <name val="Cambria"/>
      <family val="1"/>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indexed="31"/>
        <bgColor indexed="64"/>
      </patternFill>
    </fill>
    <fill>
      <patternFill patternType="solid">
        <fgColor indexed="24"/>
        <bgColor indexed="64"/>
      </patternFill>
    </fill>
    <fill>
      <patternFill patternType="solid">
        <fgColor indexed="55"/>
        <bgColor indexed="64"/>
      </patternFill>
    </fill>
    <fill>
      <patternFill patternType="solid">
        <fgColor indexed="27"/>
        <bgColor indexed="64"/>
      </patternFill>
    </fill>
    <fill>
      <patternFill patternType="solid">
        <fgColor indexed="43"/>
        <bgColor indexed="64"/>
      </patternFill>
    </fill>
    <fill>
      <patternFill patternType="solid">
        <fgColor indexed="42"/>
        <bgColor indexed="64"/>
      </patternFill>
    </fill>
    <fill>
      <patternFill patternType="solid">
        <fgColor indexed="51"/>
        <bgColor indexed="64"/>
      </patternFill>
    </fill>
    <fill>
      <patternFill patternType="solid">
        <fgColor indexed="22"/>
        <bgColor indexed="64"/>
      </patternFill>
    </fill>
    <fill>
      <patternFill patternType="solid">
        <fgColor indexed="41"/>
        <bgColor indexed="64"/>
      </patternFill>
    </fill>
  </fills>
  <borders count="7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style="thin"/>
      <top style="thin"/>
      <bottom style="thin"/>
    </border>
    <border>
      <left style="medium"/>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color indexed="63"/>
      </left>
      <right style="medium"/>
      <top style="medium"/>
      <bottom style="medium"/>
    </border>
    <border>
      <left style="medium"/>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color indexed="63"/>
      </top>
      <bottom style="medium"/>
    </border>
    <border>
      <left style="medium"/>
      <right>
        <color indexed="63"/>
      </right>
      <top style="medium"/>
      <bottom style="medium"/>
    </border>
    <border>
      <left>
        <color indexed="63"/>
      </left>
      <right>
        <color indexed="63"/>
      </right>
      <top style="medium"/>
      <bottom>
        <color indexed="63"/>
      </bottom>
    </border>
    <border>
      <left>
        <color indexed="63"/>
      </left>
      <right>
        <color indexed="63"/>
      </right>
      <top>
        <color indexed="63"/>
      </top>
      <bottom style="medium"/>
    </border>
    <border>
      <left>
        <color indexed="63"/>
      </left>
      <right style="thin"/>
      <top>
        <color indexed="63"/>
      </top>
      <bottom>
        <color indexed="63"/>
      </bottom>
    </border>
    <border>
      <left style="medium"/>
      <right style="medium"/>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thin"/>
      <right>
        <color indexed="63"/>
      </right>
      <top style="thin"/>
      <bottom style="thin"/>
    </border>
    <border>
      <left style="medium"/>
      <right style="thin"/>
      <top style="thin"/>
      <bottom>
        <color indexed="63"/>
      </bottom>
    </border>
    <border>
      <left style="thin"/>
      <right style="medium"/>
      <top style="thin"/>
      <bottom>
        <color indexed="63"/>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thin">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color indexed="63"/>
      </left>
      <right style="thin">
        <color indexed="8"/>
      </right>
      <top style="thin">
        <color indexed="8"/>
      </top>
      <bottom style="thin">
        <color indexed="8"/>
      </bottom>
    </border>
    <border>
      <left style="medium">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style="thin">
        <color indexed="8"/>
      </left>
      <right>
        <color indexed="63"/>
      </right>
      <top>
        <color indexed="63"/>
      </top>
      <bottom>
        <color indexed="63"/>
      </bottom>
    </border>
    <border>
      <left style="thin">
        <color indexed="8"/>
      </left>
      <right>
        <color indexed="63"/>
      </right>
      <top style="thin">
        <color indexed="8"/>
      </top>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color indexed="8"/>
      </right>
      <top style="thin">
        <color indexed="8"/>
      </top>
      <bottom>
        <color indexed="63"/>
      </bottom>
    </border>
    <border>
      <left style="medium"/>
      <right style="thin"/>
      <top style="medium"/>
      <bottom>
        <color indexed="63"/>
      </bottom>
    </border>
    <border>
      <left style="medium"/>
      <right style="thin"/>
      <top>
        <color indexed="63"/>
      </top>
      <bottom style="thin"/>
    </border>
    <border>
      <left style="thin"/>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medium"/>
      <top style="medium"/>
      <bottom>
        <color indexed="63"/>
      </bottom>
    </border>
    <border>
      <left style="thin"/>
      <right style="medium"/>
      <top>
        <color indexed="63"/>
      </top>
      <bottom style="thin"/>
    </border>
    <border>
      <left>
        <color indexed="63"/>
      </left>
      <right>
        <color indexed="63"/>
      </right>
      <top style="thin"/>
      <bottom style="thin"/>
    </border>
    <border>
      <left style="medium"/>
      <right style="thin"/>
      <top style="medium"/>
      <bottom style="thin"/>
    </border>
    <border>
      <left style="medium"/>
      <right style="thin"/>
      <top style="thin"/>
      <bottom style="thin"/>
    </border>
    <border>
      <left>
        <color indexed="63"/>
      </left>
      <right style="medium"/>
      <top style="medium"/>
      <bottom style="thin"/>
    </border>
    <border>
      <left>
        <color indexed="63"/>
      </left>
      <right>
        <color indexed="63"/>
      </right>
      <top style="thin">
        <color indexed="8"/>
      </top>
      <bottom style="thin">
        <color indexed="8"/>
      </bottom>
    </border>
    <border>
      <left>
        <color indexed="63"/>
      </left>
      <right style="thin">
        <color indexed="8"/>
      </right>
      <top>
        <color indexed="63"/>
      </top>
      <bottom>
        <color indexed="63"/>
      </bottom>
    </border>
    <border>
      <left style="medium">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thin"/>
      <right style="thin"/>
      <top style="medium"/>
      <bottom style="thin"/>
    </border>
    <border>
      <left style="thin"/>
      <right style="medium"/>
      <top style="medium"/>
      <bottom style="thin"/>
    </border>
    <border>
      <left style="medium"/>
      <right>
        <color indexed="63"/>
      </right>
      <top>
        <color indexed="63"/>
      </top>
      <bottom>
        <color indexed="63"/>
      </bottom>
    </border>
    <border>
      <left>
        <color indexed="63"/>
      </left>
      <right style="medium"/>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1" applyNumberFormat="0" applyAlignment="0" applyProtection="0"/>
    <xf numFmtId="0" fontId="50" fillId="27" borderId="2" applyNumberFormat="0" applyAlignment="0" applyProtection="0"/>
    <xf numFmtId="0" fontId="51" fillId="28"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2" fillId="0" borderId="0" applyNumberFormat="0" applyFill="0" applyBorder="0" applyAlignment="0" applyProtection="0"/>
    <xf numFmtId="0" fontId="52" fillId="0" borderId="3" applyNumberFormat="0" applyFill="0" applyAlignment="0" applyProtection="0"/>
    <xf numFmtId="0" fontId="53" fillId="29" borderId="4" applyNumberFormat="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30" borderId="0" applyNumberFormat="0" applyBorder="0" applyAlignment="0" applyProtection="0"/>
    <xf numFmtId="0" fontId="0" fillId="0" borderId="0">
      <alignment/>
      <protection/>
    </xf>
    <xf numFmtId="0" fontId="0" fillId="0" borderId="0">
      <alignment/>
      <protection/>
    </xf>
    <xf numFmtId="0" fontId="58" fillId="27" borderId="1" applyNumberFormat="0" applyAlignment="0" applyProtection="0"/>
    <xf numFmtId="0" fontId="3" fillId="0" borderId="0" applyNumberFormat="0" applyFill="0" applyBorder="0" applyAlignment="0" applyProtection="0"/>
    <xf numFmtId="9" fontId="0" fillId="0" borderId="0" applyFill="0" applyBorder="0" applyAlignment="0" applyProtection="0"/>
    <xf numFmtId="0" fontId="59" fillId="0" borderId="8"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0" fillId="31" borderId="9" applyNumberFormat="0" applyFont="0" applyAlignment="0" applyProtection="0"/>
    <xf numFmtId="44" fontId="0" fillId="0" borderId="0" applyFill="0" applyBorder="0" applyAlignment="0" applyProtection="0"/>
    <xf numFmtId="42" fontId="0" fillId="0" borderId="0" applyFill="0" applyBorder="0" applyAlignment="0" applyProtection="0"/>
    <xf numFmtId="0" fontId="63" fillId="32" borderId="0" applyNumberFormat="0" applyBorder="0" applyAlignment="0" applyProtection="0"/>
  </cellStyleXfs>
  <cellXfs count="547">
    <xf numFmtId="0" fontId="0" fillId="0" borderId="0" xfId="0" applyAlignment="1">
      <alignment/>
    </xf>
    <xf numFmtId="0" fontId="4" fillId="0" borderId="0" xfId="0" applyFont="1" applyAlignment="1">
      <alignment wrapText="1"/>
    </xf>
    <xf numFmtId="0" fontId="4" fillId="0" borderId="0" xfId="0" applyFont="1" applyAlignment="1">
      <alignment/>
    </xf>
    <xf numFmtId="0" fontId="0" fillId="0" borderId="0" xfId="0" applyFont="1" applyAlignment="1">
      <alignment/>
    </xf>
    <xf numFmtId="0" fontId="7" fillId="0" borderId="0" xfId="0" applyFont="1" applyBorder="1" applyAlignment="1">
      <alignment horizontal="left" vertical="center"/>
    </xf>
    <xf numFmtId="0" fontId="0" fillId="0" borderId="0" xfId="0" applyFont="1" applyAlignment="1">
      <alignment/>
    </xf>
    <xf numFmtId="0" fontId="7" fillId="0" borderId="0" xfId="0" applyFont="1" applyAlignment="1">
      <alignment horizontal="center" vertical="center"/>
    </xf>
    <xf numFmtId="0" fontId="0" fillId="0" borderId="0" xfId="0" applyFont="1" applyAlignment="1">
      <alignment/>
    </xf>
    <xf numFmtId="0" fontId="0" fillId="0" borderId="0" xfId="0" applyNumberFormat="1" applyFont="1" applyAlignment="1">
      <alignment horizontal="left" wrapText="1"/>
    </xf>
    <xf numFmtId="0" fontId="4" fillId="0" borderId="0" xfId="0" applyNumberFormat="1" applyFont="1" applyAlignment="1">
      <alignment horizontal="left" wrapText="1"/>
    </xf>
    <xf numFmtId="0" fontId="5" fillId="0" borderId="0" xfId="0" applyFont="1" applyBorder="1" applyAlignment="1">
      <alignment horizontal="left" wrapText="1"/>
    </xf>
    <xf numFmtId="0" fontId="8" fillId="0" borderId="0" xfId="0" applyFont="1" applyAlignment="1">
      <alignment horizontal="left" wrapText="1"/>
    </xf>
    <xf numFmtId="0" fontId="0" fillId="0" borderId="0" xfId="0" applyFont="1" applyAlignment="1">
      <alignment horizontal="left" wrapText="1"/>
    </xf>
    <xf numFmtId="0" fontId="0" fillId="0" borderId="0" xfId="0" applyFont="1" applyAlignment="1">
      <alignment wrapText="1"/>
    </xf>
    <xf numFmtId="0" fontId="4" fillId="0" borderId="10" xfId="0" applyFont="1" applyBorder="1" applyAlignment="1">
      <alignment horizontal="center" vertical="center" wrapText="1"/>
    </xf>
    <xf numFmtId="0" fontId="4" fillId="0" borderId="0" xfId="0" applyFont="1" applyBorder="1" applyAlignment="1">
      <alignment vertical="center" wrapText="1"/>
    </xf>
    <xf numFmtId="0" fontId="4" fillId="0" borderId="0" xfId="0" applyFont="1" applyBorder="1" applyAlignment="1">
      <alignment horizontal="center" vertical="center" wrapText="1"/>
    </xf>
    <xf numFmtId="0" fontId="4" fillId="0" borderId="10" xfId="0" applyFont="1" applyBorder="1" applyAlignment="1">
      <alignment horizontal="center"/>
    </xf>
    <xf numFmtId="0" fontId="4" fillId="0" borderId="0" xfId="0" applyFont="1" applyBorder="1" applyAlignment="1">
      <alignment horizontal="center"/>
    </xf>
    <xf numFmtId="0" fontId="0" fillId="0" borderId="0" xfId="0" applyFont="1" applyBorder="1" applyAlignment="1">
      <alignment/>
    </xf>
    <xf numFmtId="0" fontId="0" fillId="0" borderId="0" xfId="0" applyFont="1" applyBorder="1" applyAlignment="1">
      <alignment horizontal="left" wrapText="1"/>
    </xf>
    <xf numFmtId="0" fontId="0" fillId="0" borderId="11" xfId="0" applyFont="1" applyBorder="1" applyAlignment="1">
      <alignment horizontal="left" wrapText="1"/>
    </xf>
    <xf numFmtId="0" fontId="4" fillId="0" borderId="10" xfId="0" applyFont="1" applyBorder="1" applyAlignment="1">
      <alignment horizontal="center" wrapText="1"/>
    </xf>
    <xf numFmtId="0" fontId="7" fillId="0" borderId="0" xfId="53" applyFont="1" applyBorder="1" applyAlignment="1">
      <alignment horizontal="center" vertical="center"/>
      <protection/>
    </xf>
    <xf numFmtId="0" fontId="0" fillId="0" borderId="0" xfId="0" applyFont="1" applyBorder="1" applyAlignment="1">
      <alignment horizontal="center"/>
    </xf>
    <xf numFmtId="0" fontId="0" fillId="0" borderId="0" xfId="0" applyFont="1" applyAlignment="1">
      <alignment/>
    </xf>
    <xf numFmtId="0" fontId="4" fillId="0" borderId="12" xfId="0" applyFont="1" applyBorder="1" applyAlignment="1">
      <alignment horizontal="center" vertical="center" wrapText="1"/>
    </xf>
    <xf numFmtId="0" fontId="4" fillId="0" borderId="10" xfId="0" applyFont="1" applyBorder="1" applyAlignment="1">
      <alignment horizontal="center" vertical="center"/>
    </xf>
    <xf numFmtId="0" fontId="7" fillId="0" borderId="0" xfId="0" applyFont="1" applyBorder="1" applyAlignment="1">
      <alignment/>
    </xf>
    <xf numFmtId="0" fontId="7" fillId="0" borderId="0" xfId="0" applyFont="1" applyAlignment="1">
      <alignment/>
    </xf>
    <xf numFmtId="0" fontId="0" fillId="0" borderId="0" xfId="0" applyFont="1" applyAlignment="1">
      <alignment/>
    </xf>
    <xf numFmtId="0" fontId="7" fillId="0" borderId="0" xfId="0" applyFont="1" applyBorder="1" applyAlignment="1">
      <alignment horizontal="center" vertical="center"/>
    </xf>
    <xf numFmtId="0" fontId="0" fillId="0" borderId="0" xfId="0" applyFont="1" applyAlignment="1">
      <alignment horizontal="center"/>
    </xf>
    <xf numFmtId="0" fontId="8" fillId="0" borderId="0" xfId="0" applyFont="1" applyBorder="1" applyAlignment="1">
      <alignment vertical="top"/>
    </xf>
    <xf numFmtId="0" fontId="8" fillId="0" borderId="0" xfId="0" applyFont="1" applyAlignment="1">
      <alignment/>
    </xf>
    <xf numFmtId="0" fontId="4" fillId="0" borderId="13" xfId="0" applyFont="1" applyBorder="1" applyAlignment="1">
      <alignment horizontal="center" vertical="center" wrapText="1"/>
    </xf>
    <xf numFmtId="0" fontId="0" fillId="0" borderId="0" xfId="0" applyFont="1" applyAlignment="1">
      <alignment horizontal="center"/>
    </xf>
    <xf numFmtId="0" fontId="0" fillId="0" borderId="14" xfId="0" applyFont="1" applyBorder="1" applyAlignment="1">
      <alignment horizontal="center" vertical="center" wrapText="1"/>
    </xf>
    <xf numFmtId="0" fontId="0" fillId="0" borderId="15" xfId="0" applyFont="1" applyBorder="1" applyAlignment="1">
      <alignment vertical="center" wrapText="1"/>
    </xf>
    <xf numFmtId="0" fontId="0" fillId="0" borderId="16" xfId="0" applyFont="1" applyBorder="1" applyAlignment="1">
      <alignment horizontal="center" vertical="center" wrapText="1"/>
    </xf>
    <xf numFmtId="0" fontId="0" fillId="0" borderId="12" xfId="0" applyFont="1" applyBorder="1" applyAlignment="1">
      <alignment vertical="center" wrapText="1"/>
    </xf>
    <xf numFmtId="0" fontId="4" fillId="0" borderId="12" xfId="0" applyFont="1" applyBorder="1" applyAlignment="1">
      <alignment vertical="center" wrapText="1"/>
    </xf>
    <xf numFmtId="0" fontId="0" fillId="0" borderId="0" xfId="0" applyFont="1" applyFill="1" applyBorder="1" applyAlignment="1">
      <alignment horizontal="center" vertical="center" wrapText="1"/>
    </xf>
    <xf numFmtId="0" fontId="0" fillId="0" borderId="0" xfId="0" applyFont="1" applyFill="1" applyBorder="1" applyAlignment="1">
      <alignment horizontal="center" vertical="top"/>
    </xf>
    <xf numFmtId="0" fontId="10" fillId="0" borderId="0" xfId="0" applyFont="1" applyFill="1" applyBorder="1" applyAlignment="1">
      <alignment horizontal="justify" vertical="center" wrapText="1"/>
    </xf>
    <xf numFmtId="0" fontId="0" fillId="0" borderId="0" xfId="0" applyFont="1" applyAlignment="1">
      <alignment/>
    </xf>
    <xf numFmtId="0" fontId="0" fillId="0" borderId="0" xfId="0" applyFont="1" applyAlignment="1">
      <alignment horizontal="left"/>
    </xf>
    <xf numFmtId="0" fontId="0" fillId="0" borderId="0" xfId="0" applyFont="1" applyAlignment="1">
      <alignment/>
    </xf>
    <xf numFmtId="0" fontId="0" fillId="0" borderId="0" xfId="0" applyFont="1" applyAlignment="1">
      <alignment horizontal="left"/>
    </xf>
    <xf numFmtId="0" fontId="0" fillId="0" borderId="0" xfId="0" applyFont="1" applyAlignment="1">
      <alignment/>
    </xf>
    <xf numFmtId="0" fontId="10" fillId="0" borderId="0" xfId="0" applyFont="1" applyFill="1" applyBorder="1" applyAlignment="1">
      <alignment vertical="center" wrapText="1"/>
    </xf>
    <xf numFmtId="0" fontId="0" fillId="0" borderId="0" xfId="0" applyFont="1" applyFill="1" applyBorder="1" applyAlignment="1">
      <alignment horizontal="justify" vertical="center" wrapText="1"/>
    </xf>
    <xf numFmtId="0" fontId="4" fillId="0" borderId="17" xfId="0" applyFont="1" applyBorder="1" applyAlignment="1">
      <alignment horizontal="center" vertical="center" wrapText="1"/>
    </xf>
    <xf numFmtId="0" fontId="0" fillId="33" borderId="18" xfId="0" applyFont="1" applyFill="1" applyBorder="1" applyAlignment="1">
      <alignment horizontal="center" vertical="center" wrapText="1"/>
    </xf>
    <xf numFmtId="0" fontId="0" fillId="33" borderId="19" xfId="0" applyFont="1" applyFill="1" applyBorder="1" applyAlignment="1">
      <alignment horizontal="center" vertical="center" wrapText="1"/>
    </xf>
    <xf numFmtId="0" fontId="0" fillId="33" borderId="20" xfId="0" applyFont="1" applyFill="1" applyBorder="1" applyAlignment="1">
      <alignment horizontal="center" vertical="center" wrapText="1"/>
    </xf>
    <xf numFmtId="0" fontId="0" fillId="0" borderId="21" xfId="0" applyFont="1" applyBorder="1" applyAlignment="1">
      <alignment horizontal="center" vertical="center"/>
    </xf>
    <xf numFmtId="0" fontId="0" fillId="0" borderId="21" xfId="0" applyFont="1" applyBorder="1" applyAlignment="1">
      <alignment horizontal="left" vertical="center" wrapText="1"/>
    </xf>
    <xf numFmtId="0" fontId="0" fillId="0" borderId="10" xfId="0" applyFont="1" applyBorder="1" applyAlignment="1">
      <alignment horizontal="center" vertical="center"/>
    </xf>
    <xf numFmtId="0" fontId="0" fillId="0" borderId="10" xfId="0" applyFont="1" applyBorder="1" applyAlignment="1">
      <alignment horizontal="left" vertical="center" wrapText="1"/>
    </xf>
    <xf numFmtId="0" fontId="0" fillId="0" borderId="0" xfId="0" applyFont="1" applyFill="1" applyBorder="1" applyAlignment="1">
      <alignment horizontal="justify" vertical="center" wrapText="1"/>
    </xf>
    <xf numFmtId="0" fontId="4" fillId="0" borderId="17" xfId="0" applyFont="1" applyBorder="1" applyAlignment="1">
      <alignment horizontal="center" vertical="center"/>
    </xf>
    <xf numFmtId="0" fontId="0" fillId="33" borderId="18"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20" xfId="0" applyFont="1" applyFill="1" applyBorder="1" applyAlignment="1">
      <alignment horizontal="center" vertical="center"/>
    </xf>
    <xf numFmtId="0" fontId="0" fillId="0" borderId="22" xfId="0" applyFont="1" applyBorder="1" applyAlignment="1">
      <alignment horizontal="center" vertical="center"/>
    </xf>
    <xf numFmtId="0" fontId="0" fillId="0" borderId="21" xfId="0" applyFont="1" applyBorder="1" applyAlignment="1">
      <alignment vertical="center" wrapText="1"/>
    </xf>
    <xf numFmtId="0" fontId="0" fillId="0" borderId="23" xfId="0" applyFont="1" applyBorder="1" applyAlignment="1">
      <alignment horizontal="center" vertical="center"/>
    </xf>
    <xf numFmtId="0" fontId="0" fillId="0" borderId="0" xfId="0" applyFont="1" applyAlignment="1">
      <alignment vertical="center" wrapText="1"/>
    </xf>
    <xf numFmtId="0" fontId="0" fillId="0" borderId="24" xfId="0" applyFont="1" applyBorder="1" applyAlignment="1">
      <alignment vertical="center" wrapText="1"/>
    </xf>
    <xf numFmtId="0" fontId="4" fillId="0" borderId="0" xfId="53" applyFont="1">
      <alignment/>
      <protection/>
    </xf>
    <xf numFmtId="0" fontId="4" fillId="0" borderId="0" xfId="53" applyFont="1" applyAlignment="1">
      <alignment/>
      <protection/>
    </xf>
    <xf numFmtId="0" fontId="7" fillId="0" borderId="0" xfId="53" applyFont="1" applyAlignment="1">
      <alignment horizontal="center" vertical="center"/>
      <protection/>
    </xf>
    <xf numFmtId="0" fontId="7" fillId="0" borderId="0" xfId="53" applyFont="1" applyAlignment="1" applyProtection="1">
      <alignment horizontal="center" vertical="center"/>
      <protection locked="0"/>
    </xf>
    <xf numFmtId="0" fontId="9" fillId="0" borderId="0" xfId="53" applyFont="1" applyFill="1" applyBorder="1" applyAlignment="1">
      <alignment horizontal="left" vertical="center" wrapText="1"/>
      <protection/>
    </xf>
    <xf numFmtId="0" fontId="4" fillId="0" borderId="10" xfId="0" applyFont="1" applyBorder="1" applyAlignment="1">
      <alignment horizontal="left" vertical="center" wrapText="1"/>
    </xf>
    <xf numFmtId="0" fontId="4" fillId="0" borderId="0" xfId="0" applyFont="1" applyAlignment="1">
      <alignment vertical="top"/>
    </xf>
    <xf numFmtId="0" fontId="4" fillId="0" borderId="25" xfId="0" applyFont="1" applyFill="1" applyBorder="1" applyAlignment="1">
      <alignment horizontal="justify" vertical="top" wrapText="1"/>
    </xf>
    <xf numFmtId="0" fontId="0" fillId="0" borderId="25" xfId="0" applyBorder="1" applyAlignment="1">
      <alignment/>
    </xf>
    <xf numFmtId="0" fontId="0" fillId="33" borderId="26" xfId="0" applyFill="1" applyBorder="1" applyAlignment="1">
      <alignment horizontal="left" vertical="top" wrapText="1"/>
    </xf>
    <xf numFmtId="0" fontId="0" fillId="33" borderId="27" xfId="0" applyFill="1" applyBorder="1" applyAlignment="1">
      <alignment/>
    </xf>
    <xf numFmtId="0" fontId="4" fillId="0" borderId="28" xfId="0" applyFont="1" applyFill="1" applyBorder="1" applyAlignment="1">
      <alignment horizontal="justify" vertical="top" wrapText="1"/>
    </xf>
    <xf numFmtId="0" fontId="0" fillId="0" borderId="29" xfId="0" applyBorder="1" applyAlignment="1">
      <alignment/>
    </xf>
    <xf numFmtId="0" fontId="0" fillId="33" borderId="30" xfId="0" applyFill="1" applyBorder="1" applyAlignment="1">
      <alignment horizontal="left" vertical="top" wrapText="1"/>
    </xf>
    <xf numFmtId="0" fontId="0" fillId="33" borderId="31" xfId="0" applyFill="1" applyBorder="1" applyAlignment="1">
      <alignment/>
    </xf>
    <xf numFmtId="0" fontId="4" fillId="0" borderId="25" xfId="0" applyFont="1" applyBorder="1" applyAlignment="1">
      <alignment horizontal="justify" vertical="top" wrapText="1"/>
    </xf>
    <xf numFmtId="0" fontId="4" fillId="34" borderId="28" xfId="0" applyFont="1" applyFill="1" applyBorder="1" applyAlignment="1">
      <alignment horizontal="justify" vertical="top"/>
    </xf>
    <xf numFmtId="0" fontId="0" fillId="34" borderId="29" xfId="0" applyFill="1" applyBorder="1" applyAlignment="1">
      <alignment/>
    </xf>
    <xf numFmtId="0" fontId="4" fillId="35" borderId="25" xfId="0" applyFont="1" applyFill="1" applyBorder="1" applyAlignment="1">
      <alignment horizontal="left" vertical="top" wrapText="1"/>
    </xf>
    <xf numFmtId="0" fontId="0" fillId="35" borderId="25" xfId="0" applyFill="1" applyBorder="1" applyAlignment="1">
      <alignment/>
    </xf>
    <xf numFmtId="0" fontId="4" fillId="34" borderId="27" xfId="0" applyFont="1" applyFill="1" applyBorder="1" applyAlignment="1">
      <alignment horizontal="justify" vertical="top"/>
    </xf>
    <xf numFmtId="0" fontId="4" fillId="34" borderId="27" xfId="0" applyFont="1" applyFill="1" applyBorder="1" applyAlignment="1">
      <alignment horizontal="left"/>
    </xf>
    <xf numFmtId="0" fontId="4" fillId="35" borderId="29" xfId="0" applyFont="1" applyFill="1" applyBorder="1" applyAlignment="1">
      <alignment horizontal="left" vertical="top" wrapText="1"/>
    </xf>
    <xf numFmtId="0" fontId="4" fillId="35" borderId="29" xfId="0" applyFont="1" applyFill="1" applyBorder="1" applyAlignment="1">
      <alignment/>
    </xf>
    <xf numFmtId="0" fontId="0" fillId="34" borderId="31" xfId="0" applyFill="1" applyBorder="1" applyAlignment="1">
      <alignment horizontal="right" vertical="top"/>
    </xf>
    <xf numFmtId="0" fontId="0" fillId="34" borderId="31" xfId="0" applyFill="1" applyBorder="1" applyAlignment="1">
      <alignment/>
    </xf>
    <xf numFmtId="0" fontId="0" fillId="35" borderId="32" xfId="0" applyFill="1" applyBorder="1" applyAlignment="1">
      <alignment horizontal="right" vertical="top" wrapText="1"/>
    </xf>
    <xf numFmtId="0" fontId="0" fillId="35" borderId="32" xfId="0" applyFill="1" applyBorder="1" applyAlignment="1">
      <alignment/>
    </xf>
    <xf numFmtId="0" fontId="4" fillId="0" borderId="28" xfId="0" applyFont="1" applyBorder="1" applyAlignment="1">
      <alignment horizontal="justify" vertical="top" wrapText="1"/>
    </xf>
    <xf numFmtId="0" fontId="0" fillId="0" borderId="32" xfId="0" applyBorder="1" applyAlignment="1">
      <alignment/>
    </xf>
    <xf numFmtId="0" fontId="4" fillId="0" borderId="25" xfId="0" applyFont="1" applyBorder="1" applyAlignment="1">
      <alignment horizontal="left" vertical="top" wrapText="1"/>
    </xf>
    <xf numFmtId="0" fontId="4" fillId="0" borderId="28" xfId="0" applyFont="1" applyBorder="1" applyAlignment="1">
      <alignment horizontal="justify" vertical="top"/>
    </xf>
    <xf numFmtId="0" fontId="0" fillId="0" borderId="25" xfId="0" applyFill="1" applyBorder="1" applyAlignment="1">
      <alignment/>
    </xf>
    <xf numFmtId="0" fontId="4" fillId="0" borderId="29" xfId="0" applyFont="1" applyBorder="1" applyAlignment="1">
      <alignment horizontal="justify" vertical="top" wrapText="1"/>
    </xf>
    <xf numFmtId="0" fontId="4" fillId="36" borderId="0" xfId="0" applyFont="1" applyFill="1" applyBorder="1" applyAlignment="1">
      <alignment horizontal="center" vertical="center" textRotation="255" wrapText="1" readingOrder="2"/>
    </xf>
    <xf numFmtId="0" fontId="0" fillId="0" borderId="33" xfId="0" applyBorder="1" applyAlignment="1">
      <alignment/>
    </xf>
    <xf numFmtId="0" fontId="4" fillId="0" borderId="32" xfId="0" applyFont="1" applyBorder="1" applyAlignment="1">
      <alignment horizontal="justify" vertical="top" wrapText="1"/>
    </xf>
    <xf numFmtId="0" fontId="4" fillId="34" borderId="29" xfId="0" applyFont="1" applyFill="1" applyBorder="1" applyAlignment="1">
      <alignment horizontal="justify" vertical="top"/>
    </xf>
    <xf numFmtId="0" fontId="0" fillId="34" borderId="25" xfId="0" applyFill="1" applyBorder="1" applyAlignment="1">
      <alignment/>
    </xf>
    <xf numFmtId="0" fontId="0" fillId="35" borderId="29" xfId="0" applyFill="1" applyBorder="1" applyAlignment="1">
      <alignment/>
    </xf>
    <xf numFmtId="0" fontId="4" fillId="34" borderId="34" xfId="0" applyFont="1" applyFill="1" applyBorder="1" applyAlignment="1">
      <alignment/>
    </xf>
    <xf numFmtId="0" fontId="4" fillId="35" borderId="26" xfId="0" applyFont="1" applyFill="1" applyBorder="1" applyAlignment="1">
      <alignment horizontal="left" vertical="top" wrapText="1"/>
    </xf>
    <xf numFmtId="0" fontId="0" fillId="34" borderId="32" xfId="0" applyFill="1" applyBorder="1" applyAlignment="1">
      <alignment horizontal="right" vertical="top"/>
    </xf>
    <xf numFmtId="0" fontId="0" fillId="34" borderId="35" xfId="0" applyFont="1" applyFill="1" applyBorder="1" applyAlignment="1">
      <alignment/>
    </xf>
    <xf numFmtId="0" fontId="0" fillId="35" borderId="30" xfId="0" applyFill="1" applyBorder="1" applyAlignment="1">
      <alignment horizontal="right" vertical="top" wrapText="1"/>
    </xf>
    <xf numFmtId="0" fontId="0" fillId="0" borderId="25" xfId="0" applyFont="1" applyFill="1" applyBorder="1" applyAlignment="1">
      <alignment/>
    </xf>
    <xf numFmtId="0" fontId="4" fillId="0" borderId="25" xfId="0" applyFont="1" applyBorder="1" applyAlignment="1">
      <alignment horizontal="justify" vertical="top"/>
    </xf>
    <xf numFmtId="0" fontId="0" fillId="33" borderId="33" xfId="0" applyFill="1" applyBorder="1" applyAlignment="1">
      <alignment horizontal="left" vertical="top" wrapText="1"/>
    </xf>
    <xf numFmtId="0" fontId="0" fillId="33" borderId="28" xfId="0" applyFill="1" applyBorder="1" applyAlignment="1">
      <alignment/>
    </xf>
    <xf numFmtId="0" fontId="4" fillId="0" borderId="36" xfId="0" applyFont="1" applyFill="1" applyBorder="1" applyAlignment="1">
      <alignment horizontal="justify" vertical="top" wrapText="1"/>
    </xf>
    <xf numFmtId="0" fontId="0" fillId="0" borderId="37" xfId="0" applyFill="1" applyBorder="1" applyAlignment="1">
      <alignment/>
    </xf>
    <xf numFmtId="0" fontId="4" fillId="0" borderId="0" xfId="0" applyFont="1" applyAlignment="1">
      <alignment horizontal="justify" vertical="top" wrapText="1"/>
    </xf>
    <xf numFmtId="0" fontId="0" fillId="35" borderId="25" xfId="0" applyFill="1" applyBorder="1" applyAlignment="1">
      <alignment horizontal="left" vertical="top" wrapText="1"/>
    </xf>
    <xf numFmtId="0" fontId="4" fillId="34" borderId="26" xfId="0" applyFont="1" applyFill="1" applyBorder="1" applyAlignment="1">
      <alignment horizontal="justify" vertical="top"/>
    </xf>
    <xf numFmtId="0" fontId="4" fillId="34" borderId="29" xfId="0" applyFont="1" applyFill="1" applyBorder="1" applyAlignment="1">
      <alignment/>
    </xf>
    <xf numFmtId="0" fontId="0" fillId="35" borderId="29" xfId="0" applyFill="1" applyBorder="1" applyAlignment="1">
      <alignment horizontal="left" vertical="top" wrapText="1"/>
    </xf>
    <xf numFmtId="0" fontId="0" fillId="34" borderId="30" xfId="0" applyFill="1" applyBorder="1" applyAlignment="1">
      <alignment horizontal="right" vertical="top"/>
    </xf>
    <xf numFmtId="0" fontId="0" fillId="34" borderId="32" xfId="0" applyFill="1" applyBorder="1" applyAlignment="1">
      <alignment/>
    </xf>
    <xf numFmtId="0" fontId="4" fillId="0" borderId="38" xfId="0" applyFont="1" applyFill="1" applyBorder="1" applyAlignment="1">
      <alignment horizontal="justify" vertical="top" wrapText="1"/>
    </xf>
    <xf numFmtId="0" fontId="17" fillId="37" borderId="29" xfId="0" applyFont="1" applyFill="1" applyBorder="1" applyAlignment="1">
      <alignment horizontal="center" vertical="center" textRotation="255" wrapText="1"/>
    </xf>
    <xf numFmtId="0" fontId="4" fillId="0" borderId="25" xfId="0" applyFont="1" applyFill="1" applyBorder="1" applyAlignment="1">
      <alignment horizontal="left" vertical="top" wrapText="1"/>
    </xf>
    <xf numFmtId="0" fontId="0" fillId="33" borderId="26" xfId="0" applyFill="1" applyBorder="1" applyAlignment="1">
      <alignment/>
    </xf>
    <xf numFmtId="0" fontId="4" fillId="0" borderId="28" xfId="0" applyFont="1" applyFill="1" applyBorder="1" applyAlignment="1">
      <alignment horizontal="left" vertical="top" wrapText="1"/>
    </xf>
    <xf numFmtId="0" fontId="0" fillId="33" borderId="30" xfId="0" applyFill="1" applyBorder="1" applyAlignment="1">
      <alignment/>
    </xf>
    <xf numFmtId="0" fontId="0" fillId="0" borderId="39" xfId="0" applyFont="1" applyBorder="1" applyAlignment="1">
      <alignment horizontal="center"/>
    </xf>
    <xf numFmtId="0" fontId="0" fillId="0" borderId="11" xfId="0" applyFont="1" applyBorder="1" applyAlignment="1">
      <alignment horizontal="center"/>
    </xf>
    <xf numFmtId="0" fontId="4" fillId="0" borderId="0" xfId="52" applyFont="1" applyAlignment="1">
      <alignment vertical="center" wrapText="1"/>
      <protection/>
    </xf>
    <xf numFmtId="0" fontId="0" fillId="0" borderId="0" xfId="52" applyFont="1" applyAlignment="1">
      <alignment vertical="center" wrapText="1"/>
      <protection/>
    </xf>
    <xf numFmtId="0" fontId="4" fillId="38" borderId="10" xfId="52" applyFont="1" applyFill="1" applyBorder="1" applyAlignment="1">
      <alignment horizontal="center" vertical="center" wrapText="1"/>
      <protection/>
    </xf>
    <xf numFmtId="0" fontId="4" fillId="33" borderId="10" xfId="52" applyFont="1" applyFill="1" applyBorder="1" applyAlignment="1">
      <alignment horizontal="center" vertical="center" wrapText="1"/>
      <protection/>
    </xf>
    <xf numFmtId="0" fontId="4" fillId="39" borderId="10" xfId="52" applyFont="1" applyFill="1" applyBorder="1" applyAlignment="1">
      <alignment horizontal="center" vertical="center" wrapText="1"/>
      <protection/>
    </xf>
    <xf numFmtId="0" fontId="4" fillId="39" borderId="10" xfId="52" applyFont="1" applyFill="1" applyBorder="1" applyAlignment="1">
      <alignment vertical="center" wrapText="1"/>
      <protection/>
    </xf>
    <xf numFmtId="3" fontId="0" fillId="0" borderId="10" xfId="52" applyNumberFormat="1" applyFont="1" applyFill="1" applyBorder="1" applyAlignment="1">
      <alignment vertical="center" wrapText="1"/>
      <protection/>
    </xf>
    <xf numFmtId="10" fontId="0" fillId="0" borderId="10" xfId="52" applyNumberFormat="1" applyFont="1" applyFill="1" applyBorder="1" applyAlignment="1">
      <alignment vertical="center" wrapText="1"/>
      <protection/>
    </xf>
    <xf numFmtId="0" fontId="0" fillId="0" borderId="0" xfId="53" applyFont="1">
      <alignment/>
      <protection/>
    </xf>
    <xf numFmtId="0" fontId="0" fillId="0" borderId="0" xfId="53" applyFont="1" applyAlignment="1">
      <alignment horizontal="left" vertical="center"/>
      <protection/>
    </xf>
    <xf numFmtId="0" fontId="4" fillId="0" borderId="0" xfId="52" applyFont="1" applyAlignment="1">
      <alignment horizontal="left" vertical="center" wrapText="1"/>
      <protection/>
    </xf>
    <xf numFmtId="0" fontId="0" fillId="0" borderId="0" xfId="0" applyFont="1" applyBorder="1" applyAlignment="1">
      <alignment wrapText="1"/>
    </xf>
    <xf numFmtId="0" fontId="10" fillId="40" borderId="0" xfId="0" applyFont="1" applyFill="1" applyAlignment="1">
      <alignment vertical="center" wrapText="1"/>
    </xf>
    <xf numFmtId="0" fontId="7" fillId="0" borderId="0" xfId="0" applyFont="1" applyFill="1" applyBorder="1" applyAlignment="1">
      <alignment vertical="center" wrapText="1"/>
    </xf>
    <xf numFmtId="0" fontId="21" fillId="0" borderId="10" xfId="53" applyFont="1" applyFill="1" applyBorder="1" applyAlignment="1">
      <alignment horizontal="center" vertical="center"/>
      <protection/>
    </xf>
    <xf numFmtId="0" fontId="22" fillId="33" borderId="18" xfId="53" applyFont="1" applyFill="1" applyBorder="1" applyAlignment="1">
      <alignment horizontal="center" vertical="top" wrapText="1"/>
      <protection/>
    </xf>
    <xf numFmtId="0" fontId="22" fillId="33" borderId="19" xfId="53" applyFont="1" applyFill="1" applyBorder="1" applyAlignment="1">
      <alignment horizontal="center"/>
      <protection/>
    </xf>
    <xf numFmtId="0" fontId="22" fillId="33" borderId="19" xfId="53" applyFont="1" applyFill="1" applyBorder="1" applyAlignment="1">
      <alignment horizontal="center" vertical="center"/>
      <protection/>
    </xf>
    <xf numFmtId="0" fontId="22" fillId="33" borderId="20" xfId="53" applyFont="1" applyFill="1" applyBorder="1" applyAlignment="1">
      <alignment horizontal="center" vertical="center"/>
      <protection/>
    </xf>
    <xf numFmtId="0" fontId="22" fillId="0" borderId="10" xfId="53" applyFont="1" applyBorder="1" applyAlignment="1">
      <alignment horizontal="left" vertical="center" wrapText="1"/>
      <protection/>
    </xf>
    <xf numFmtId="3" fontId="22" fillId="0" borderId="10" xfId="53" applyNumberFormat="1" applyFont="1" applyBorder="1" applyAlignment="1">
      <alignment horizontal="right" vertical="center" wrapText="1"/>
      <protection/>
    </xf>
    <xf numFmtId="3" fontId="21" fillId="0" borderId="10" xfId="53" applyNumberFormat="1" applyFont="1" applyBorder="1" applyAlignment="1">
      <alignment horizontal="right" vertical="center"/>
      <protection/>
    </xf>
    <xf numFmtId="3" fontId="22" fillId="0" borderId="10" xfId="53" applyNumberFormat="1" applyFont="1" applyBorder="1" applyAlignment="1">
      <alignment horizontal="right" vertical="center"/>
      <protection/>
    </xf>
    <xf numFmtId="10" fontId="22" fillId="0" borderId="10" xfId="56" applyNumberFormat="1" applyFont="1" applyBorder="1" applyAlignment="1">
      <alignment horizontal="right" vertical="center"/>
    </xf>
    <xf numFmtId="0" fontId="22" fillId="0" borderId="10" xfId="53" applyFont="1" applyBorder="1" applyAlignment="1">
      <alignment horizontal="right" vertical="center" wrapText="1"/>
      <protection/>
    </xf>
    <xf numFmtId="3" fontId="22" fillId="0" borderId="10" xfId="53" applyNumberFormat="1" applyFont="1" applyBorder="1" applyAlignment="1" quotePrefix="1">
      <alignment horizontal="right" vertical="center" wrapText="1"/>
      <protection/>
    </xf>
    <xf numFmtId="0" fontId="22" fillId="0" borderId="10" xfId="53" applyFont="1" applyBorder="1" applyAlignment="1">
      <alignment horizontal="right" vertical="center"/>
      <protection/>
    </xf>
    <xf numFmtId="0" fontId="22" fillId="0" borderId="10" xfId="53" applyFont="1" applyFill="1" applyBorder="1" applyAlignment="1">
      <alignment horizontal="left" vertical="center" wrapText="1"/>
      <protection/>
    </xf>
    <xf numFmtId="0" fontId="22" fillId="0" borderId="10" xfId="53" applyFont="1" applyBorder="1" applyAlignment="1" quotePrefix="1">
      <alignment horizontal="left" vertical="center" wrapText="1"/>
      <protection/>
    </xf>
    <xf numFmtId="0" fontId="22" fillId="0" borderId="10" xfId="53" applyFont="1" applyFill="1" applyBorder="1" applyAlignment="1">
      <alignment horizontal="center" vertical="center" wrapText="1"/>
      <protection/>
    </xf>
    <xf numFmtId="3" fontId="22" fillId="0" borderId="10" xfId="53" applyNumberFormat="1" applyFont="1" applyFill="1" applyBorder="1" applyAlignment="1">
      <alignment horizontal="right" vertical="center" wrapText="1"/>
      <protection/>
    </xf>
    <xf numFmtId="0" fontId="22" fillId="0" borderId="10" xfId="53" applyFont="1" applyFill="1" applyBorder="1" applyAlignment="1" quotePrefix="1">
      <alignment horizontal="left" vertical="center" wrapText="1"/>
      <protection/>
    </xf>
    <xf numFmtId="3" fontId="22" fillId="0" borderId="10" xfId="53" applyNumberFormat="1" applyFont="1" applyFill="1" applyBorder="1" applyAlignment="1" quotePrefix="1">
      <alignment horizontal="right" vertical="center" wrapText="1"/>
      <protection/>
    </xf>
    <xf numFmtId="0" fontId="21" fillId="0" borderId="10" xfId="53" applyFont="1" applyBorder="1" applyAlignment="1">
      <alignment horizontal="left" vertical="center"/>
      <protection/>
    </xf>
    <xf numFmtId="0" fontId="22" fillId="0" borderId="10" xfId="53" applyFont="1" applyBorder="1" applyAlignment="1">
      <alignment horizontal="left" vertical="center"/>
      <protection/>
    </xf>
    <xf numFmtId="0" fontId="22" fillId="0" borderId="10" xfId="53" applyFont="1" applyFill="1" applyBorder="1" applyAlignment="1" quotePrefix="1">
      <alignment horizontal="left" vertical="center"/>
      <protection/>
    </xf>
    <xf numFmtId="3" fontId="22" fillId="0" borderId="10" xfId="53" applyNumberFormat="1" applyFont="1" applyBorder="1" applyAlignment="1">
      <alignment horizontal="left" vertical="center"/>
      <protection/>
    </xf>
    <xf numFmtId="0" fontId="22" fillId="0" borderId="10" xfId="53" applyFont="1" applyFill="1" applyBorder="1" applyAlignment="1">
      <alignment horizontal="center" vertical="center"/>
      <protection/>
    </xf>
    <xf numFmtId="0" fontId="22" fillId="0" borderId="10" xfId="53" applyFont="1" applyFill="1" applyBorder="1" applyAlignment="1">
      <alignment horizontal="right" vertical="center"/>
      <protection/>
    </xf>
    <xf numFmtId="0" fontId="22" fillId="0" borderId="10" xfId="53" applyFont="1" applyBorder="1" applyAlignment="1" quotePrefix="1">
      <alignment horizontal="left" vertical="center"/>
      <protection/>
    </xf>
    <xf numFmtId="0" fontId="22" fillId="0" borderId="10" xfId="53" applyFont="1" applyFill="1" applyBorder="1" applyAlignment="1">
      <alignment horizontal="left" vertical="center"/>
      <protection/>
    </xf>
    <xf numFmtId="0" fontId="22" fillId="0" borderId="40" xfId="53" applyFont="1" applyBorder="1" applyAlignment="1">
      <alignment horizontal="center" vertical="center" wrapText="1"/>
      <protection/>
    </xf>
    <xf numFmtId="0" fontId="22" fillId="0" borderId="10" xfId="53" applyFont="1" applyFill="1" applyBorder="1" applyAlignment="1" quotePrefix="1">
      <alignment horizontal="right" vertical="center" wrapText="1"/>
      <protection/>
    </xf>
    <xf numFmtId="0" fontId="21" fillId="0" borderId="10" xfId="53" applyFont="1" applyBorder="1" applyAlignment="1">
      <alignment horizontal="right" vertical="center"/>
      <protection/>
    </xf>
    <xf numFmtId="0" fontId="22" fillId="0" borderId="0" xfId="53" applyFont="1" applyAlignment="1">
      <alignment horizontal="left" vertical="center"/>
      <protection/>
    </xf>
    <xf numFmtId="0" fontId="22" fillId="0" borderId="10" xfId="53" applyFont="1" applyBorder="1" applyAlignment="1" quotePrefix="1">
      <alignment horizontal="right" vertical="center" wrapText="1"/>
      <protection/>
    </xf>
    <xf numFmtId="0" fontId="22" fillId="0" borderId="10" xfId="0" applyFont="1" applyBorder="1" applyAlignment="1">
      <alignment vertical="center"/>
    </xf>
    <xf numFmtId="3" fontId="22" fillId="0" borderId="10" xfId="0" applyNumberFormat="1" applyFont="1" applyBorder="1" applyAlignment="1">
      <alignment horizontal="right" vertical="center"/>
    </xf>
    <xf numFmtId="0" fontId="22" fillId="0" borderId="10" xfId="0" applyFont="1" applyBorder="1" applyAlignment="1">
      <alignment horizontal="right" vertical="center"/>
    </xf>
    <xf numFmtId="0" fontId="21" fillId="0" borderId="10" xfId="53" applyFont="1" applyFill="1" applyBorder="1" applyAlignment="1">
      <alignment horizontal="right" vertical="center"/>
      <protection/>
    </xf>
    <xf numFmtId="0" fontId="22" fillId="0" borderId="0" xfId="53" applyFont="1">
      <alignment/>
      <protection/>
    </xf>
    <xf numFmtId="0" fontId="22" fillId="0" borderId="0" xfId="0" applyFont="1" applyAlignment="1">
      <alignment/>
    </xf>
    <xf numFmtId="3" fontId="21" fillId="0" borderId="10" xfId="53" applyNumberFormat="1" applyFont="1" applyBorder="1" applyAlignment="1">
      <alignment horizontal="right" vertical="center" wrapText="1"/>
      <protection/>
    </xf>
    <xf numFmtId="3" fontId="21" fillId="0" borderId="10" xfId="53" applyNumberFormat="1" applyFont="1" applyFill="1" applyBorder="1" applyAlignment="1">
      <alignment horizontal="right" vertical="center" wrapText="1"/>
      <protection/>
    </xf>
    <xf numFmtId="0" fontId="22" fillId="0" borderId="10" xfId="53" applyFont="1" applyFill="1" applyBorder="1" applyAlignment="1">
      <alignment horizontal="right" vertical="center" wrapText="1"/>
      <protection/>
    </xf>
    <xf numFmtId="0" fontId="22" fillId="0" borderId="10" xfId="0" applyFont="1" applyFill="1" applyBorder="1" applyAlignment="1">
      <alignment horizontal="right" vertical="center"/>
    </xf>
    <xf numFmtId="0" fontId="21" fillId="0" borderId="0" xfId="0" applyFont="1" applyBorder="1" applyAlignment="1">
      <alignment horizontal="center" vertical="center" wrapText="1"/>
    </xf>
    <xf numFmtId="0" fontId="22" fillId="0" borderId="0" xfId="0" applyFont="1" applyAlignment="1">
      <alignment/>
    </xf>
    <xf numFmtId="0" fontId="22" fillId="0" borderId="0" xfId="0" applyFont="1" applyBorder="1" applyAlignment="1">
      <alignment/>
    </xf>
    <xf numFmtId="0" fontId="21" fillId="0" borderId="0" xfId="0" applyFont="1" applyBorder="1" applyAlignment="1">
      <alignment horizontal="center" vertical="top" wrapText="1"/>
    </xf>
    <xf numFmtId="0" fontId="21" fillId="0" borderId="21" xfId="0" applyFont="1" applyBorder="1" applyAlignment="1">
      <alignment horizontal="center" vertical="center" wrapText="1"/>
    </xf>
    <xf numFmtId="0" fontId="19" fillId="0" borderId="21" xfId="0" applyFont="1" applyBorder="1" applyAlignment="1">
      <alignment horizontal="center" vertical="center" wrapText="1"/>
    </xf>
    <xf numFmtId="0" fontId="21" fillId="0" borderId="10" xfId="0" applyFont="1" applyBorder="1" applyAlignment="1">
      <alignment horizontal="center" vertical="center" wrapText="1"/>
    </xf>
    <xf numFmtId="0" fontId="22" fillId="0" borderId="0" xfId="0" applyFont="1" applyAlignment="1" applyProtection="1">
      <alignment/>
      <protection locked="0"/>
    </xf>
    <xf numFmtId="0" fontId="22" fillId="0" borderId="0" xfId="0" applyFont="1" applyBorder="1" applyAlignment="1">
      <alignment/>
    </xf>
    <xf numFmtId="0" fontId="22" fillId="0" borderId="0" xfId="0" applyFont="1" applyBorder="1" applyAlignment="1">
      <alignment horizontal="center" vertical="center" wrapText="1"/>
    </xf>
    <xf numFmtId="0" fontId="22" fillId="0" borderId="0" xfId="0" applyFont="1" applyAlignment="1">
      <alignment horizontal="center" vertical="center"/>
    </xf>
    <xf numFmtId="0" fontId="22" fillId="0" borderId="0" xfId="0" applyFont="1" applyBorder="1" applyAlignment="1">
      <alignment horizontal="center"/>
    </xf>
    <xf numFmtId="0" fontId="43" fillId="0" borderId="0" xfId="0" applyFont="1" applyFill="1" applyBorder="1" applyAlignment="1">
      <alignment horizontal="justify" vertical="center" wrapText="1"/>
    </xf>
    <xf numFmtId="0" fontId="22" fillId="0" borderId="0" xfId="0" applyFont="1" applyFill="1" applyBorder="1" applyAlignment="1">
      <alignment horizontal="justify" vertical="center" wrapText="1"/>
    </xf>
    <xf numFmtId="0" fontId="21" fillId="0" borderId="10" xfId="0" applyFont="1" applyBorder="1" applyAlignment="1">
      <alignment horizontal="center" vertical="center"/>
    </xf>
    <xf numFmtId="0" fontId="21" fillId="0" borderId="17" xfId="0" applyFont="1" applyBorder="1" applyAlignment="1">
      <alignment horizontal="center" vertical="center" wrapText="1"/>
    </xf>
    <xf numFmtId="0" fontId="22" fillId="41" borderId="41" xfId="0" applyFont="1" applyFill="1" applyBorder="1" applyAlignment="1">
      <alignment horizontal="center" vertical="center" wrapText="1"/>
    </xf>
    <xf numFmtId="0" fontId="22" fillId="41" borderId="23" xfId="0" applyFont="1" applyFill="1" applyBorder="1" applyAlignment="1">
      <alignment horizontal="center" vertical="center" wrapText="1"/>
    </xf>
    <xf numFmtId="0" fontId="22" fillId="41" borderId="42" xfId="0" applyFont="1" applyFill="1" applyBorder="1" applyAlignment="1">
      <alignment horizontal="center" vertical="center" wrapText="1"/>
    </xf>
    <xf numFmtId="0" fontId="22" fillId="0" borderId="0" xfId="0" applyFont="1" applyFill="1" applyBorder="1" applyAlignment="1">
      <alignment horizontal="center" vertical="center" wrapText="1"/>
    </xf>
    <xf numFmtId="3" fontId="22" fillId="0" borderId="10" xfId="0" applyNumberFormat="1" applyFont="1" applyBorder="1" applyAlignment="1">
      <alignment horizontal="center" vertical="center" wrapText="1"/>
    </xf>
    <xf numFmtId="0" fontId="44" fillId="0" borderId="13" xfId="0" applyFont="1" applyBorder="1" applyAlignment="1">
      <alignment horizontal="center" vertical="center" wrapText="1"/>
    </xf>
    <xf numFmtId="0" fontId="19" fillId="41" borderId="43" xfId="0" applyFont="1" applyFill="1" applyBorder="1" applyAlignment="1">
      <alignment horizontal="center"/>
    </xf>
    <xf numFmtId="0" fontId="19" fillId="41" borderId="44" xfId="0" applyFont="1" applyFill="1" applyBorder="1" applyAlignment="1">
      <alignment horizontal="center" vertical="top" wrapText="1"/>
    </xf>
    <xf numFmtId="0" fontId="19" fillId="41" borderId="45" xfId="0" applyFont="1" applyFill="1" applyBorder="1" applyAlignment="1">
      <alignment horizontal="center" vertical="top" wrapText="1"/>
    </xf>
    <xf numFmtId="0" fontId="44" fillId="0" borderId="46" xfId="0" applyFont="1" applyBorder="1" applyAlignment="1">
      <alignment horizontal="center" vertical="center" wrapText="1"/>
    </xf>
    <xf numFmtId="0" fontId="44" fillId="0" borderId="15" xfId="0" applyFont="1" applyFill="1" applyBorder="1" applyAlignment="1">
      <alignment horizontal="left" vertical="center" wrapText="1"/>
    </xf>
    <xf numFmtId="3" fontId="44" fillId="0" borderId="15" xfId="0" applyNumberFormat="1" applyFont="1" applyBorder="1" applyAlignment="1">
      <alignment horizontal="center" vertical="center" wrapText="1"/>
    </xf>
    <xf numFmtId="0" fontId="19" fillId="0" borderId="15" xfId="0" applyFont="1" applyBorder="1" applyAlignment="1">
      <alignment horizontal="center" vertical="center" wrapText="1"/>
    </xf>
    <xf numFmtId="0" fontId="19" fillId="0" borderId="12" xfId="0" applyFont="1" applyFill="1" applyBorder="1" applyAlignment="1">
      <alignment horizontal="left" vertical="center" wrapText="1"/>
    </xf>
    <xf numFmtId="3" fontId="19" fillId="0" borderId="12" xfId="0" applyNumberFormat="1" applyFont="1" applyBorder="1" applyAlignment="1">
      <alignment horizontal="center" vertical="center" wrapText="1"/>
    </xf>
    <xf numFmtId="0" fontId="44" fillId="0" borderId="47" xfId="0" applyFont="1" applyBorder="1" applyAlignment="1">
      <alignment horizontal="center" vertical="center" wrapText="1"/>
    </xf>
    <xf numFmtId="0" fontId="44" fillId="0" borderId="0" xfId="0" applyFont="1" applyFill="1" applyAlignment="1">
      <alignment horizontal="left" vertical="center"/>
    </xf>
    <xf numFmtId="3" fontId="44" fillId="0" borderId="12" xfId="0" applyNumberFormat="1" applyFont="1" applyBorder="1" applyAlignment="1">
      <alignment horizontal="center" vertical="center" wrapText="1"/>
    </xf>
    <xf numFmtId="0" fontId="19" fillId="0" borderId="46" xfId="0" applyFont="1" applyBorder="1" applyAlignment="1">
      <alignment horizontal="center" vertical="center" wrapText="1"/>
    </xf>
    <xf numFmtId="0" fontId="44" fillId="0" borderId="23" xfId="0" applyFont="1" applyBorder="1" applyAlignment="1">
      <alignment horizontal="center" vertical="center" wrapText="1"/>
    </xf>
    <xf numFmtId="0" fontId="44" fillId="0" borderId="48" xfId="0" applyFont="1" applyFill="1" applyBorder="1" applyAlignment="1">
      <alignment horizontal="left" vertical="center" wrapText="1"/>
    </xf>
    <xf numFmtId="0" fontId="19" fillId="0" borderId="22" xfId="0" applyFont="1" applyBorder="1" applyAlignment="1">
      <alignment horizontal="center" vertical="center" wrapText="1"/>
    </xf>
    <xf numFmtId="0" fontId="19" fillId="0" borderId="48" xfId="0" applyFont="1" applyFill="1" applyBorder="1" applyAlignment="1">
      <alignment horizontal="left" vertical="center" wrapText="1"/>
    </xf>
    <xf numFmtId="0" fontId="19" fillId="0" borderId="48" xfId="0" applyFont="1" applyBorder="1" applyAlignment="1">
      <alignment horizontal="left" vertical="center" wrapText="1"/>
    </xf>
    <xf numFmtId="0" fontId="44" fillId="0" borderId="48" xfId="0" applyFont="1" applyBorder="1" applyAlignment="1">
      <alignment horizontal="left" vertical="center" wrapText="1"/>
    </xf>
    <xf numFmtId="0" fontId="22" fillId="0" borderId="0" xfId="0" applyFont="1" applyAlignment="1">
      <alignment horizontal="center"/>
    </xf>
    <xf numFmtId="0" fontId="21" fillId="0" borderId="0" xfId="0" applyFont="1" applyAlignment="1">
      <alignment horizontal="center" vertical="center"/>
    </xf>
    <xf numFmtId="0" fontId="21" fillId="0" borderId="0" xfId="0" applyFont="1" applyAlignment="1" applyProtection="1">
      <alignment horizontal="center" vertical="center"/>
      <protection locked="0"/>
    </xf>
    <xf numFmtId="0" fontId="22" fillId="0" borderId="0" xfId="0" applyFont="1" applyAlignment="1">
      <alignment vertical="center"/>
    </xf>
    <xf numFmtId="0" fontId="21" fillId="0" borderId="0" xfId="0" applyFont="1" applyFill="1" applyBorder="1" applyAlignment="1">
      <alignment horizontal="left" vertical="center" wrapText="1"/>
    </xf>
    <xf numFmtId="0" fontId="21" fillId="0" borderId="0" xfId="0" applyFont="1" applyAlignment="1">
      <alignment/>
    </xf>
    <xf numFmtId="0" fontId="23" fillId="0" borderId="0" xfId="0" applyFont="1" applyBorder="1" applyAlignment="1">
      <alignment vertical="top"/>
    </xf>
    <xf numFmtId="0" fontId="23" fillId="0" borderId="0" xfId="0" applyFont="1" applyAlignment="1">
      <alignment/>
    </xf>
    <xf numFmtId="0" fontId="22" fillId="0" borderId="0" xfId="0" applyFont="1" applyFill="1" applyAlignment="1">
      <alignment/>
    </xf>
    <xf numFmtId="3" fontId="4" fillId="0" borderId="21" xfId="0" applyNumberFormat="1" applyFont="1" applyBorder="1" applyAlignment="1">
      <alignment horizontal="center" vertical="center"/>
    </xf>
    <xf numFmtId="3" fontId="4" fillId="0" borderId="10" xfId="0" applyNumberFormat="1" applyFont="1" applyBorder="1" applyAlignment="1">
      <alignment horizontal="center" vertical="center" wrapText="1"/>
    </xf>
    <xf numFmtId="3" fontId="4" fillId="0" borderId="21" xfId="0" applyNumberFormat="1" applyFont="1" applyBorder="1" applyAlignment="1">
      <alignment horizontal="center" vertical="center" wrapText="1"/>
    </xf>
    <xf numFmtId="3" fontId="0" fillId="0" borderId="21" xfId="0" applyNumberFormat="1" applyFont="1" applyBorder="1" applyAlignment="1">
      <alignment horizontal="center" vertical="center" wrapText="1"/>
    </xf>
    <xf numFmtId="3" fontId="0" fillId="0" borderId="10" xfId="0" applyNumberFormat="1" applyFont="1" applyBorder="1" applyAlignment="1">
      <alignment horizontal="center" vertical="center" wrapText="1"/>
    </xf>
    <xf numFmtId="3" fontId="0" fillId="0" borderId="21" xfId="0" applyNumberFormat="1" applyFont="1" applyBorder="1" applyAlignment="1">
      <alignment horizontal="center" vertical="center"/>
    </xf>
    <xf numFmtId="3" fontId="0" fillId="0" borderId="10" xfId="0" applyNumberFormat="1" applyFont="1" applyBorder="1" applyAlignment="1">
      <alignment horizontal="center" vertical="center"/>
    </xf>
    <xf numFmtId="3" fontId="21" fillId="0" borderId="21" xfId="0" applyNumberFormat="1" applyFont="1" applyBorder="1" applyAlignment="1">
      <alignment horizontal="center" vertical="center" wrapText="1"/>
    </xf>
    <xf numFmtId="4" fontId="22" fillId="0" borderId="10" xfId="53" applyNumberFormat="1" applyFont="1" applyBorder="1" applyAlignment="1">
      <alignment horizontal="right" vertical="center"/>
      <protection/>
    </xf>
    <xf numFmtId="4" fontId="21" fillId="0" borderId="10" xfId="53" applyNumberFormat="1" applyFont="1" applyBorder="1" applyAlignment="1">
      <alignment horizontal="right" vertical="center"/>
      <protection/>
    </xf>
    <xf numFmtId="0" fontId="0" fillId="41" borderId="49" xfId="0" applyFont="1" applyFill="1" applyBorder="1" applyAlignment="1">
      <alignment horizontal="center" vertical="center" wrapText="1"/>
    </xf>
    <xf numFmtId="0" fontId="0" fillId="41" borderId="47" xfId="0" applyFont="1" applyFill="1" applyBorder="1" applyAlignment="1">
      <alignment horizontal="center" vertical="center" wrapText="1"/>
    </xf>
    <xf numFmtId="0" fontId="0" fillId="41" borderId="50" xfId="0" applyFont="1" applyFill="1" applyBorder="1" applyAlignment="1">
      <alignment horizontal="center" vertical="center" wrapText="1"/>
    </xf>
    <xf numFmtId="0" fontId="0" fillId="0" borderId="15" xfId="0" applyFont="1" applyBorder="1" applyAlignment="1">
      <alignment horizontal="center" vertical="center" wrapText="1"/>
    </xf>
    <xf numFmtId="0" fontId="0" fillId="0" borderId="12" xfId="0" applyFont="1" applyBorder="1" applyAlignment="1">
      <alignment horizontal="center" vertical="center" wrapText="1"/>
    </xf>
    <xf numFmtId="0" fontId="4" fillId="0" borderId="15" xfId="0" applyFont="1" applyBorder="1" applyAlignment="1">
      <alignment horizontal="center" vertical="center" wrapText="1"/>
    </xf>
    <xf numFmtId="0" fontId="45" fillId="0" borderId="10" xfId="0" applyFont="1" applyBorder="1" applyAlignment="1">
      <alignment horizontal="left" vertical="top"/>
    </xf>
    <xf numFmtId="0" fontId="45" fillId="0" borderId="10" xfId="0" applyFont="1" applyBorder="1" applyAlignment="1">
      <alignment horizontal="left" vertical="top" wrapText="1"/>
    </xf>
    <xf numFmtId="0" fontId="45" fillId="0" borderId="10" xfId="0" applyFont="1" applyBorder="1" applyAlignment="1">
      <alignment/>
    </xf>
    <xf numFmtId="0" fontId="22" fillId="0" borderId="10" xfId="0" applyFont="1" applyBorder="1" applyAlignment="1">
      <alignment horizontal="center" vertical="center"/>
    </xf>
    <xf numFmtId="4" fontId="22" fillId="0" borderId="10" xfId="0" applyNumberFormat="1" applyFont="1" applyBorder="1" applyAlignment="1">
      <alignment horizontal="center" vertical="center"/>
    </xf>
    <xf numFmtId="0" fontId="46" fillId="0" borderId="10" xfId="0" applyFont="1" applyBorder="1" applyAlignment="1">
      <alignment horizontal="center" vertical="center"/>
    </xf>
    <xf numFmtId="0" fontId="46" fillId="0" borderId="0" xfId="0" applyFont="1" applyAlignment="1">
      <alignment horizontal="center" vertical="center"/>
    </xf>
    <xf numFmtId="4" fontId="46" fillId="0" borderId="10" xfId="0" applyNumberFormat="1" applyFont="1" applyBorder="1" applyAlignment="1">
      <alignment horizontal="center" vertical="center"/>
    </xf>
    <xf numFmtId="2" fontId="46" fillId="0" borderId="10" xfId="0" applyNumberFormat="1" applyFont="1" applyBorder="1" applyAlignment="1">
      <alignment horizontal="center" vertical="center"/>
    </xf>
    <xf numFmtId="3" fontId="0" fillId="0" borderId="10" xfId="52" applyNumberFormat="1" applyFont="1" applyFill="1" applyBorder="1" applyAlignment="1">
      <alignment horizontal="center" vertical="center" wrapText="1"/>
      <protection/>
    </xf>
    <xf numFmtId="10" fontId="0" fillId="0" borderId="10" xfId="52" applyNumberFormat="1" applyFont="1" applyFill="1" applyBorder="1" applyAlignment="1">
      <alignment horizontal="center" vertical="center" wrapText="1"/>
      <protection/>
    </xf>
    <xf numFmtId="3" fontId="4" fillId="0" borderId="10" xfId="52" applyNumberFormat="1" applyFont="1" applyFill="1" applyBorder="1" applyAlignment="1">
      <alignment horizontal="center" vertical="center" wrapText="1"/>
      <protection/>
    </xf>
    <xf numFmtId="1" fontId="0" fillId="0" borderId="0" xfId="53" applyNumberFormat="1" applyFont="1" applyAlignment="1">
      <alignment horizontal="left" vertical="center"/>
      <protection/>
    </xf>
    <xf numFmtId="0" fontId="22" fillId="0" borderId="10" xfId="53" applyFont="1" applyBorder="1" applyAlignment="1">
      <alignment horizontal="center" vertical="center" wrapText="1"/>
      <protection/>
    </xf>
    <xf numFmtId="0" fontId="22" fillId="0" borderId="10" xfId="53" applyFont="1" applyBorder="1" applyAlignment="1">
      <alignment horizontal="center" vertical="center"/>
      <protection/>
    </xf>
    <xf numFmtId="0" fontId="22" fillId="0" borderId="23" xfId="53" applyFont="1" applyBorder="1" applyAlignment="1">
      <alignment horizontal="center" vertical="center"/>
      <protection/>
    </xf>
    <xf numFmtId="0" fontId="44" fillId="0" borderId="12" xfId="0" applyFont="1" applyBorder="1" applyAlignment="1">
      <alignment horizontal="center" vertical="center" wrapText="1"/>
    </xf>
    <xf numFmtId="0" fontId="22" fillId="0" borderId="0" xfId="0" applyFont="1" applyFill="1" applyBorder="1" applyAlignment="1">
      <alignment/>
    </xf>
    <xf numFmtId="3" fontId="22" fillId="0" borderId="21" xfId="0" applyNumberFormat="1" applyFont="1" applyBorder="1" applyAlignment="1">
      <alignment horizontal="center" vertical="center" wrapText="1"/>
    </xf>
    <xf numFmtId="3" fontId="21" fillId="0" borderId="21" xfId="0" applyNumberFormat="1" applyFont="1" applyBorder="1" applyAlignment="1">
      <alignment horizontal="center" vertical="center" wrapText="1"/>
    </xf>
    <xf numFmtId="1" fontId="0" fillId="0" borderId="0" xfId="53" applyNumberFormat="1" applyFont="1">
      <alignment/>
      <protection/>
    </xf>
    <xf numFmtId="0" fontId="0" fillId="0" borderId="0" xfId="53" applyFont="1" applyBorder="1" applyAlignment="1">
      <alignment/>
      <protection/>
    </xf>
    <xf numFmtId="0" fontId="0" fillId="0" borderId="0" xfId="53" applyFont="1" applyBorder="1">
      <alignment/>
      <protection/>
    </xf>
    <xf numFmtId="0" fontId="0" fillId="0" borderId="0" xfId="53" applyFont="1" applyProtection="1">
      <alignment/>
      <protection locked="0"/>
    </xf>
    <xf numFmtId="1" fontId="0" fillId="0" borderId="0" xfId="0" applyNumberFormat="1" applyFont="1" applyAlignment="1">
      <alignment/>
    </xf>
    <xf numFmtId="0" fontId="0" fillId="0" borderId="0" xfId="0" applyFont="1" applyAlignment="1">
      <alignment/>
    </xf>
    <xf numFmtId="1" fontId="0" fillId="0" borderId="0" xfId="53" applyNumberFormat="1" applyFont="1" applyAlignment="1">
      <alignment horizontal="justify" vertical="center"/>
      <protection/>
    </xf>
    <xf numFmtId="0" fontId="0" fillId="0" borderId="0" xfId="53" applyFont="1" applyAlignment="1">
      <alignment horizontal="justify" vertical="center"/>
      <protection/>
    </xf>
    <xf numFmtId="1" fontId="0" fillId="0" borderId="0" xfId="53" applyNumberFormat="1" applyFont="1" applyAlignment="1">
      <alignment horizontal="left" vertical="center" wrapText="1"/>
      <protection/>
    </xf>
    <xf numFmtId="0" fontId="0" fillId="0" borderId="0" xfId="53" applyFont="1" applyAlignment="1">
      <alignment horizontal="left" vertical="center" wrapText="1"/>
      <protection/>
    </xf>
    <xf numFmtId="1" fontId="0" fillId="0" borderId="0" xfId="53" applyNumberFormat="1" applyFont="1" applyFill="1" applyAlignment="1">
      <alignment horizontal="left" vertical="center"/>
      <protection/>
    </xf>
    <xf numFmtId="0" fontId="0" fillId="0" borderId="0" xfId="53" applyFont="1" applyFill="1" applyAlignment="1">
      <alignment horizontal="left" vertical="center"/>
      <protection/>
    </xf>
    <xf numFmtId="4" fontId="22" fillId="0" borderId="10" xfId="53" applyNumberFormat="1" applyFont="1" applyBorder="1" applyAlignment="1">
      <alignment horizontal="right" vertical="center" wrapText="1"/>
      <protection/>
    </xf>
    <xf numFmtId="3" fontId="22" fillId="0" borderId="10" xfId="53" applyNumberFormat="1" applyFont="1" applyFill="1" applyBorder="1" applyAlignment="1">
      <alignment horizontal="right" vertical="center"/>
      <protection/>
    </xf>
    <xf numFmtId="0" fontId="44" fillId="0" borderId="51" xfId="0" applyFont="1" applyBorder="1" applyAlignment="1">
      <alignment horizontal="center" vertical="center" wrapText="1"/>
    </xf>
    <xf numFmtId="0" fontId="19" fillId="0" borderId="14" xfId="0" applyFont="1" applyBorder="1" applyAlignment="1">
      <alignment horizontal="center" vertical="center" wrapText="1"/>
    </xf>
    <xf numFmtId="0" fontId="44" fillId="0" borderId="52" xfId="0" applyFont="1" applyBorder="1" applyAlignment="1">
      <alignment horizontal="center" vertical="center" wrapText="1"/>
    </xf>
    <xf numFmtId="0" fontId="19" fillId="0" borderId="51" xfId="0" applyFont="1" applyBorder="1" applyAlignment="1">
      <alignment horizontal="center" vertical="center" wrapText="1"/>
    </xf>
    <xf numFmtId="0" fontId="44" fillId="0" borderId="53" xfId="0" applyFont="1" applyBorder="1" applyAlignment="1">
      <alignment horizontal="center" vertical="center" wrapText="1"/>
    </xf>
    <xf numFmtId="0" fontId="19" fillId="0" borderId="38" xfId="0" applyFont="1" applyBorder="1" applyAlignment="1">
      <alignment horizontal="center" vertical="center" wrapText="1"/>
    </xf>
    <xf numFmtId="0" fontId="19" fillId="0" borderId="54" xfId="0" applyFont="1" applyBorder="1" applyAlignment="1">
      <alignment horizontal="center" vertical="center" wrapText="1"/>
    </xf>
    <xf numFmtId="0" fontId="44" fillId="0" borderId="10" xfId="0" applyFont="1" applyFill="1" applyBorder="1" applyAlignment="1">
      <alignment horizontal="left" vertical="center" wrapText="1"/>
    </xf>
    <xf numFmtId="3" fontId="44" fillId="0" borderId="10" xfId="0" applyNumberFormat="1" applyFont="1" applyBorder="1" applyAlignment="1">
      <alignment horizontal="center" vertical="center" wrapText="1"/>
    </xf>
    <xf numFmtId="0" fontId="19" fillId="0" borderId="10" xfId="0" applyFont="1" applyFill="1" applyBorder="1" applyAlignment="1">
      <alignment horizontal="left" vertical="center" wrapText="1"/>
    </xf>
    <xf numFmtId="3" fontId="19" fillId="0" borderId="10" xfId="0" applyNumberFormat="1" applyFont="1" applyBorder="1" applyAlignment="1">
      <alignment horizontal="center" vertical="center" wrapText="1"/>
    </xf>
    <xf numFmtId="0" fontId="44" fillId="0" borderId="10" xfId="0" applyFont="1" applyFill="1" applyBorder="1" applyAlignment="1">
      <alignment horizontal="left" vertical="center"/>
    </xf>
    <xf numFmtId="0" fontId="19" fillId="0" borderId="10" xfId="0" applyFont="1" applyBorder="1" applyAlignment="1">
      <alignment horizontal="left" vertical="center" wrapText="1"/>
    </xf>
    <xf numFmtId="0" fontId="44" fillId="0" borderId="10" xfId="0" applyFont="1" applyBorder="1" applyAlignment="1">
      <alignment horizontal="left" vertical="center" wrapText="1"/>
    </xf>
    <xf numFmtId="0" fontId="21" fillId="0" borderId="10" xfId="0" applyFont="1" applyBorder="1" applyAlignment="1">
      <alignment horizontal="center" vertical="center" wrapText="1"/>
    </xf>
    <xf numFmtId="3" fontId="21" fillId="0" borderId="21" xfId="0" applyNumberFormat="1" applyFont="1" applyBorder="1" applyAlignment="1">
      <alignment horizontal="center" vertical="center" wrapText="1"/>
    </xf>
    <xf numFmtId="3" fontId="22" fillId="0" borderId="21" xfId="0" applyNumberFormat="1" applyFont="1" applyBorder="1" applyAlignment="1">
      <alignment horizontal="center" vertical="center" wrapText="1"/>
    </xf>
    <xf numFmtId="3" fontId="22" fillId="0" borderId="10" xfId="0" applyNumberFormat="1" applyFont="1" applyBorder="1" applyAlignment="1">
      <alignment horizontal="center" vertical="center" wrapText="1"/>
    </xf>
    <xf numFmtId="10" fontId="0" fillId="0" borderId="0" xfId="52" applyNumberFormat="1" applyFont="1" applyAlignment="1">
      <alignment vertical="center" wrapText="1"/>
      <protection/>
    </xf>
    <xf numFmtId="0" fontId="0" fillId="0" borderId="22" xfId="0" applyFont="1" applyBorder="1" applyAlignment="1">
      <alignment horizontal="center" vertical="center"/>
    </xf>
    <xf numFmtId="0" fontId="0" fillId="0" borderId="21" xfId="0" applyFont="1" applyBorder="1" applyAlignment="1">
      <alignment vertical="center" wrapText="1"/>
    </xf>
    <xf numFmtId="0" fontId="0" fillId="0" borderId="23" xfId="0" applyFont="1" applyBorder="1" applyAlignment="1">
      <alignment horizontal="center" vertical="center"/>
    </xf>
    <xf numFmtId="0" fontId="0" fillId="0" borderId="0" xfId="0" applyFont="1" applyAlignment="1">
      <alignment vertical="center" wrapText="1"/>
    </xf>
    <xf numFmtId="0" fontId="0" fillId="0" borderId="21" xfId="0" applyFont="1" applyBorder="1" applyAlignment="1">
      <alignment horizontal="center" vertical="center"/>
    </xf>
    <xf numFmtId="0" fontId="0" fillId="0" borderId="24" xfId="0" applyFont="1" applyBorder="1" applyAlignment="1">
      <alignment vertical="center" wrapText="1"/>
    </xf>
    <xf numFmtId="0" fontId="0" fillId="0" borderId="21" xfId="0" applyFont="1" applyBorder="1" applyAlignment="1">
      <alignment horizontal="left" vertical="center" wrapText="1"/>
    </xf>
    <xf numFmtId="0" fontId="0" fillId="0" borderId="10" xfId="0" applyFont="1" applyBorder="1" applyAlignment="1">
      <alignment horizontal="center" vertical="center"/>
    </xf>
    <xf numFmtId="0" fontId="0" fillId="0" borderId="10" xfId="0" applyFont="1" applyBorder="1" applyAlignment="1">
      <alignment horizontal="left" vertical="center" wrapText="1"/>
    </xf>
    <xf numFmtId="0" fontId="19" fillId="0" borderId="55" xfId="0" applyFont="1" applyBorder="1" applyAlignment="1">
      <alignment horizontal="left" vertical="center" wrapText="1"/>
    </xf>
    <xf numFmtId="3" fontId="44" fillId="0" borderId="46" xfId="0" applyNumberFormat="1" applyFont="1" applyBorder="1" applyAlignment="1">
      <alignment horizontal="center" vertical="center" wrapText="1"/>
    </xf>
    <xf numFmtId="4" fontId="46" fillId="0" borderId="10" xfId="0" applyNumberFormat="1" applyFont="1" applyFill="1" applyBorder="1" applyAlignment="1">
      <alignment horizontal="center" vertical="center"/>
    </xf>
    <xf numFmtId="0" fontId="5" fillId="0" borderId="0" xfId="53" applyFont="1" applyAlignment="1">
      <alignment horizontal="left" wrapText="1"/>
      <protection/>
    </xf>
    <xf numFmtId="0" fontId="5" fillId="0" borderId="0" xfId="53" applyFont="1" applyAlignment="1">
      <alignment horizontal="left"/>
      <protection/>
    </xf>
    <xf numFmtId="0" fontId="7" fillId="0" borderId="10" xfId="53" applyFont="1" applyBorder="1" applyAlignment="1">
      <alignment horizontal="center" vertical="center" wrapText="1"/>
      <protection/>
    </xf>
    <xf numFmtId="0" fontId="0" fillId="0" borderId="10" xfId="53" applyFont="1" applyBorder="1" applyAlignment="1">
      <alignment horizontal="center" vertical="center" wrapText="1"/>
      <protection/>
    </xf>
    <xf numFmtId="0" fontId="0" fillId="0" borderId="10" xfId="53" applyFont="1" applyBorder="1" applyAlignment="1">
      <alignment horizontal="center" vertical="center" wrapText="1"/>
      <protection/>
    </xf>
    <xf numFmtId="0" fontId="7" fillId="0" borderId="10" xfId="53" applyFont="1" applyBorder="1" applyAlignment="1">
      <alignment horizontal="center" vertical="center"/>
      <protection/>
    </xf>
    <xf numFmtId="0" fontId="0" fillId="0" borderId="10" xfId="53" applyFont="1" applyBorder="1" applyAlignment="1">
      <alignment horizontal="center"/>
      <protection/>
    </xf>
    <xf numFmtId="0" fontId="0" fillId="0" borderId="10" xfId="53" applyFont="1" applyBorder="1" applyAlignment="1">
      <alignment horizontal="center"/>
      <protection/>
    </xf>
    <xf numFmtId="0" fontId="9" fillId="0" borderId="0" xfId="53" applyFont="1" applyBorder="1" applyAlignment="1">
      <alignment horizontal="left" vertical="top" wrapText="1"/>
      <protection/>
    </xf>
    <xf numFmtId="0" fontId="9" fillId="0" borderId="0" xfId="53" applyFont="1" applyBorder="1" applyAlignment="1">
      <alignment horizontal="left" vertical="top"/>
      <protection/>
    </xf>
    <xf numFmtId="0" fontId="9" fillId="0" borderId="0" xfId="53" applyFont="1" applyFill="1" applyBorder="1" applyAlignment="1">
      <alignment horizontal="left" vertical="center" wrapText="1"/>
      <protection/>
    </xf>
    <xf numFmtId="0" fontId="4" fillId="0" borderId="0" xfId="53" applyFont="1" applyFill="1" applyBorder="1" applyAlignment="1">
      <alignment horizontal="left" vertical="center" wrapText="1"/>
      <protection/>
    </xf>
    <xf numFmtId="0" fontId="10" fillId="0" borderId="0" xfId="0" applyFont="1" applyAlignment="1">
      <alignment horizontal="justify" vertical="center" wrapText="1"/>
    </xf>
    <xf numFmtId="0" fontId="13" fillId="0" borderId="0" xfId="53" applyFont="1" applyFill="1" applyBorder="1" applyAlignment="1">
      <alignment horizontal="justify" vertical="center" wrapText="1"/>
      <protection/>
    </xf>
    <xf numFmtId="0" fontId="4" fillId="0" borderId="0" xfId="53" applyFont="1" applyFill="1" applyBorder="1" applyAlignment="1">
      <alignment horizontal="justify" vertical="center" wrapText="1"/>
      <protection/>
    </xf>
    <xf numFmtId="0" fontId="14" fillId="0" borderId="0" xfId="53" applyFont="1" applyFill="1" applyBorder="1" applyAlignment="1">
      <alignment horizontal="justify" vertical="center" wrapText="1"/>
      <protection/>
    </xf>
    <xf numFmtId="0" fontId="11" fillId="0" borderId="0" xfId="53" applyNumberFormat="1" applyFont="1" applyFill="1" applyBorder="1" applyAlignment="1">
      <alignment horizontal="justify" vertical="center" wrapText="1"/>
      <protection/>
    </xf>
    <xf numFmtId="0" fontId="14" fillId="0" borderId="0" xfId="53" applyNumberFormat="1" applyFont="1" applyFill="1" applyBorder="1" applyAlignment="1">
      <alignment horizontal="justify" vertical="center" wrapText="1"/>
      <protection/>
    </xf>
    <xf numFmtId="0" fontId="21" fillId="0" borderId="56" xfId="53" applyFont="1" applyBorder="1" applyAlignment="1">
      <alignment horizontal="center" vertical="center" wrapText="1"/>
      <protection/>
    </xf>
    <xf numFmtId="0" fontId="21" fillId="0" borderId="57" xfId="53" applyFont="1" applyBorder="1" applyAlignment="1">
      <alignment horizontal="center" vertical="center" wrapText="1"/>
      <protection/>
    </xf>
    <xf numFmtId="0" fontId="21" fillId="0" borderId="58" xfId="53" applyFont="1" applyBorder="1" applyAlignment="1">
      <alignment horizontal="center" vertical="center"/>
      <protection/>
    </xf>
    <xf numFmtId="0" fontId="21" fillId="0" borderId="21" xfId="53" applyFont="1" applyBorder="1" applyAlignment="1">
      <alignment horizontal="center" vertical="center"/>
      <protection/>
    </xf>
    <xf numFmtId="0" fontId="21" fillId="0" borderId="58" xfId="53" applyFont="1" applyBorder="1" applyAlignment="1">
      <alignment horizontal="center" vertical="center" wrapText="1"/>
      <protection/>
    </xf>
    <xf numFmtId="0" fontId="21" fillId="0" borderId="21" xfId="53" applyFont="1" applyBorder="1" applyAlignment="1">
      <alignment horizontal="center" vertical="center" wrapText="1"/>
      <protection/>
    </xf>
    <xf numFmtId="0" fontId="21" fillId="0" borderId="59" xfId="53" applyFont="1" applyBorder="1" applyAlignment="1">
      <alignment horizontal="center" vertical="center"/>
      <protection/>
    </xf>
    <xf numFmtId="0" fontId="21" fillId="0" borderId="60" xfId="53" applyFont="1" applyBorder="1" applyAlignment="1">
      <alignment horizontal="center" vertical="center"/>
      <protection/>
    </xf>
    <xf numFmtId="0" fontId="21" fillId="0" borderId="61" xfId="53" applyFont="1" applyBorder="1" applyAlignment="1">
      <alignment horizontal="center" vertical="center"/>
      <protection/>
    </xf>
    <xf numFmtId="0" fontId="21" fillId="0" borderId="62" xfId="53" applyFont="1" applyBorder="1" applyAlignment="1">
      <alignment horizontal="center" vertical="center" wrapText="1"/>
      <protection/>
    </xf>
    <xf numFmtId="0" fontId="21" fillId="0" borderId="63" xfId="53" applyFont="1" applyBorder="1" applyAlignment="1">
      <alignment horizontal="center" vertical="center" wrapText="1"/>
      <protection/>
    </xf>
    <xf numFmtId="0" fontId="21" fillId="33" borderId="21" xfId="53" applyFont="1" applyFill="1" applyBorder="1" applyAlignment="1">
      <alignment horizontal="center" vertical="center" wrapText="1"/>
      <protection/>
    </xf>
    <xf numFmtId="0" fontId="21" fillId="33" borderId="40" xfId="53" applyFont="1" applyFill="1" applyBorder="1" applyAlignment="1">
      <alignment horizontal="center" vertical="center" wrapText="1"/>
      <protection/>
    </xf>
    <xf numFmtId="0" fontId="21" fillId="33" borderId="64" xfId="53" applyFont="1" applyFill="1" applyBorder="1" applyAlignment="1">
      <alignment horizontal="center" vertical="center" wrapText="1"/>
      <protection/>
    </xf>
    <xf numFmtId="0" fontId="21" fillId="33" borderId="24" xfId="53" applyFont="1" applyFill="1" applyBorder="1" applyAlignment="1">
      <alignment horizontal="center" vertical="center" wrapText="1"/>
      <protection/>
    </xf>
    <xf numFmtId="0" fontId="22" fillId="0" borderId="10" xfId="53" applyFont="1" applyBorder="1" applyAlignment="1">
      <alignment horizontal="center" vertical="center" wrapText="1"/>
      <protection/>
    </xf>
    <xf numFmtId="0" fontId="21" fillId="33" borderId="40" xfId="53" applyFont="1" applyFill="1" applyBorder="1" applyAlignment="1">
      <alignment horizontal="center" vertical="center"/>
      <protection/>
    </xf>
    <xf numFmtId="0" fontId="21" fillId="33" borderId="64" xfId="53" applyFont="1" applyFill="1" applyBorder="1" applyAlignment="1">
      <alignment horizontal="center" vertical="center"/>
      <protection/>
    </xf>
    <xf numFmtId="0" fontId="21" fillId="33" borderId="24" xfId="53" applyFont="1" applyFill="1" applyBorder="1" applyAlignment="1">
      <alignment horizontal="center" vertical="center"/>
      <protection/>
    </xf>
    <xf numFmtId="0" fontId="22" fillId="0" borderId="23" xfId="53" applyFont="1" applyBorder="1" applyAlignment="1">
      <alignment horizontal="center" vertical="center"/>
      <protection/>
    </xf>
    <xf numFmtId="0" fontId="22" fillId="0" borderId="22" xfId="53" applyFont="1" applyBorder="1" applyAlignment="1">
      <alignment horizontal="center" vertical="center"/>
      <protection/>
    </xf>
    <xf numFmtId="0" fontId="22" fillId="0" borderId="21" xfId="53" applyFont="1" applyBorder="1" applyAlignment="1">
      <alignment horizontal="center" vertical="center"/>
      <protection/>
    </xf>
    <xf numFmtId="0" fontId="22" fillId="0" borderId="10" xfId="53" applyFont="1" applyBorder="1" applyAlignment="1">
      <alignment horizontal="center" vertical="center"/>
      <protection/>
    </xf>
    <xf numFmtId="0" fontId="22" fillId="0" borderId="23" xfId="53" applyFont="1" applyBorder="1" applyAlignment="1">
      <alignment horizontal="center" vertical="center" wrapText="1"/>
      <protection/>
    </xf>
    <xf numFmtId="0" fontId="22" fillId="0" borderId="22" xfId="53" applyFont="1" applyBorder="1" applyAlignment="1">
      <alignment horizontal="center" vertical="center" wrapText="1"/>
      <protection/>
    </xf>
    <xf numFmtId="0" fontId="22" fillId="0" borderId="21" xfId="53" applyFont="1" applyBorder="1" applyAlignment="1">
      <alignment horizontal="center" vertical="center" wrapText="1"/>
      <protection/>
    </xf>
    <xf numFmtId="0" fontId="22" fillId="0" borderId="40" xfId="53" applyFont="1" applyFill="1" applyBorder="1" applyAlignment="1">
      <alignment horizontal="left" vertical="center" wrapText="1"/>
      <protection/>
    </xf>
    <xf numFmtId="0" fontId="22" fillId="0" borderId="64" xfId="53" applyFont="1" applyFill="1" applyBorder="1" applyAlignment="1">
      <alignment horizontal="left" vertical="center" wrapText="1"/>
      <protection/>
    </xf>
    <xf numFmtId="0" fontId="22" fillId="0" borderId="24" xfId="53" applyFont="1" applyFill="1" applyBorder="1" applyAlignment="1">
      <alignment horizontal="left" vertical="center" wrapText="1"/>
      <protection/>
    </xf>
    <xf numFmtId="0" fontId="22" fillId="0" borderId="40" xfId="53" applyFont="1" applyBorder="1" applyAlignment="1">
      <alignment horizontal="left"/>
      <protection/>
    </xf>
    <xf numFmtId="0" fontId="22" fillId="0" borderId="64" xfId="53" applyFont="1" applyBorder="1" applyAlignment="1">
      <alignment horizontal="left"/>
      <protection/>
    </xf>
    <xf numFmtId="0" fontId="22" fillId="0" borderId="24" xfId="53" applyFont="1" applyBorder="1" applyAlignment="1">
      <alignment horizontal="left"/>
      <protection/>
    </xf>
    <xf numFmtId="0" fontId="22" fillId="0" borderId="0" xfId="0" applyFont="1" applyAlignment="1">
      <alignment horizontal="left"/>
    </xf>
    <xf numFmtId="0" fontId="22" fillId="0" borderId="64" xfId="0" applyFont="1" applyBorder="1" applyAlignment="1">
      <alignment vertical="center"/>
    </xf>
    <xf numFmtId="0" fontId="22" fillId="0" borderId="24" xfId="0" applyFont="1" applyBorder="1" applyAlignment="1">
      <alignment vertical="center"/>
    </xf>
    <xf numFmtId="0" fontId="22" fillId="0" borderId="22" xfId="0" applyFont="1" applyBorder="1" applyAlignment="1">
      <alignment horizontal="center" vertical="center"/>
    </xf>
    <xf numFmtId="0" fontId="22" fillId="0" borderId="21" xfId="0" applyFont="1" applyBorder="1" applyAlignment="1">
      <alignment horizontal="center" vertical="center"/>
    </xf>
    <xf numFmtId="0" fontId="21" fillId="0" borderId="40" xfId="53" applyFont="1" applyBorder="1" applyAlignment="1">
      <alignment horizontal="center"/>
      <protection/>
    </xf>
    <xf numFmtId="0" fontId="21" fillId="0" borderId="24" xfId="53" applyFont="1" applyBorder="1" applyAlignment="1">
      <alignment horizontal="center"/>
      <protection/>
    </xf>
    <xf numFmtId="0" fontId="22" fillId="0" borderId="40" xfId="0" applyFont="1" applyBorder="1" applyAlignment="1">
      <alignment horizontal="center"/>
    </xf>
    <xf numFmtId="0" fontId="22" fillId="0" borderId="64" xfId="0" applyFont="1" applyBorder="1" applyAlignment="1">
      <alignment horizontal="center"/>
    </xf>
    <xf numFmtId="0" fontId="22" fillId="0" borderId="24" xfId="0" applyFont="1" applyBorder="1" applyAlignment="1">
      <alignment horizontal="center"/>
    </xf>
    <xf numFmtId="3" fontId="22" fillId="0" borderId="23" xfId="0" applyNumberFormat="1" applyFont="1" applyBorder="1" applyAlignment="1">
      <alignment horizontal="center" vertical="center" wrapText="1"/>
    </xf>
    <xf numFmtId="3" fontId="22" fillId="0" borderId="21" xfId="0" applyNumberFormat="1" applyFont="1" applyBorder="1" applyAlignment="1">
      <alignment horizontal="center" vertical="center" wrapText="1"/>
    </xf>
    <xf numFmtId="0" fontId="21" fillId="41" borderId="40" xfId="0" applyFont="1" applyFill="1" applyBorder="1" applyAlignment="1">
      <alignment horizontal="center" vertical="center" wrapText="1"/>
    </xf>
    <xf numFmtId="0" fontId="21" fillId="41" borderId="64" xfId="0" applyFont="1" applyFill="1" applyBorder="1" applyAlignment="1">
      <alignment horizontal="center" vertical="center" wrapText="1"/>
    </xf>
    <xf numFmtId="0" fontId="21" fillId="41" borderId="24" xfId="0" applyFont="1" applyFill="1" applyBorder="1" applyAlignment="1">
      <alignment horizontal="center" vertical="center" wrapText="1"/>
    </xf>
    <xf numFmtId="3" fontId="21" fillId="0" borderId="23" xfId="0" applyNumberFormat="1" applyFont="1" applyBorder="1" applyAlignment="1">
      <alignment horizontal="center" vertical="center" wrapText="1"/>
    </xf>
    <xf numFmtId="3" fontId="21" fillId="0" borderId="21" xfId="0" applyNumberFormat="1" applyFont="1" applyBorder="1" applyAlignment="1">
      <alignment horizontal="center" vertical="center" wrapText="1"/>
    </xf>
    <xf numFmtId="0" fontId="21" fillId="0" borderId="10"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12" xfId="0" applyFont="1" applyBorder="1" applyAlignment="1">
      <alignment horizontal="center"/>
    </xf>
    <xf numFmtId="0" fontId="21" fillId="0" borderId="17" xfId="0" applyFont="1" applyBorder="1" applyAlignment="1">
      <alignment horizontal="center" vertical="center" wrapText="1"/>
    </xf>
    <xf numFmtId="0" fontId="21" fillId="0" borderId="0" xfId="0" applyFont="1" applyBorder="1" applyAlignment="1">
      <alignment horizontal="left" vertical="center" wrapText="1"/>
    </xf>
    <xf numFmtId="0" fontId="43" fillId="0" borderId="0" xfId="0" applyFont="1" applyBorder="1" applyAlignment="1">
      <alignment horizontal="left" vertical="top"/>
    </xf>
    <xf numFmtId="49" fontId="21" fillId="0" borderId="65" xfId="0" applyNumberFormat="1" applyFont="1" applyBorder="1" applyAlignment="1">
      <alignment horizontal="center" vertical="center" wrapText="1"/>
    </xf>
    <xf numFmtId="49" fontId="21" fillId="0" borderId="66" xfId="0" applyNumberFormat="1" applyFont="1" applyBorder="1" applyAlignment="1">
      <alignment horizontal="center" vertical="center" wrapText="1"/>
    </xf>
    <xf numFmtId="0" fontId="21" fillId="0" borderId="59" xfId="0" applyFont="1" applyBorder="1" applyAlignment="1">
      <alignment horizontal="center" vertical="center" wrapText="1"/>
    </xf>
    <xf numFmtId="0" fontId="21" fillId="0" borderId="60" xfId="0" applyFont="1" applyBorder="1" applyAlignment="1">
      <alignment horizontal="center" vertical="center" wrapText="1"/>
    </xf>
    <xf numFmtId="0" fontId="21" fillId="0" borderId="67" xfId="0" applyFont="1" applyBorder="1" applyAlignment="1">
      <alignment horizontal="center" vertical="center" wrapText="1"/>
    </xf>
    <xf numFmtId="0" fontId="19" fillId="0" borderId="0" xfId="0" applyFont="1" applyFill="1" applyBorder="1" applyAlignment="1">
      <alignment horizontal="justify" vertical="center" wrapText="1"/>
    </xf>
    <xf numFmtId="0" fontId="22" fillId="0" borderId="0" xfId="0" applyFont="1" applyBorder="1" applyAlignment="1">
      <alignment horizontal="left" wrapText="1"/>
    </xf>
    <xf numFmtId="0" fontId="22" fillId="0" borderId="0" xfId="0" applyFont="1" applyBorder="1" applyAlignment="1">
      <alignment wrapText="1"/>
    </xf>
    <xf numFmtId="3" fontId="22" fillId="0" borderId="10" xfId="0" applyNumberFormat="1" applyFont="1" applyBorder="1" applyAlignment="1">
      <alignment horizontal="center" vertical="center" wrapText="1"/>
    </xf>
    <xf numFmtId="3" fontId="21" fillId="0" borderId="10" xfId="0" applyNumberFormat="1" applyFont="1" applyBorder="1" applyAlignment="1">
      <alignment horizontal="center" vertical="center" wrapText="1"/>
    </xf>
    <xf numFmtId="0" fontId="22" fillId="0" borderId="10" xfId="0" applyFont="1" applyBorder="1" applyAlignment="1">
      <alignment horizontal="center"/>
    </xf>
    <xf numFmtId="0" fontId="21" fillId="0" borderId="0" xfId="0" applyFont="1" applyBorder="1" applyAlignment="1">
      <alignment horizontal="left" wrapText="1"/>
    </xf>
    <xf numFmtId="0" fontId="21" fillId="0" borderId="0" xfId="0" applyFont="1" applyBorder="1" applyAlignment="1">
      <alignment horizontal="center" vertical="center"/>
    </xf>
    <xf numFmtId="0" fontId="22" fillId="0" borderId="16" xfId="0" applyFont="1" applyBorder="1" applyAlignment="1">
      <alignment horizontal="center" vertical="center" wrapText="1"/>
    </xf>
    <xf numFmtId="0" fontId="22" fillId="0" borderId="68" xfId="0" applyFont="1" applyBorder="1" applyAlignment="1">
      <alignment horizontal="center" vertical="center"/>
    </xf>
    <xf numFmtId="0" fontId="22" fillId="0" borderId="48" xfId="0" applyFont="1" applyBorder="1" applyAlignment="1">
      <alignment horizontal="center" vertical="center"/>
    </xf>
    <xf numFmtId="0" fontId="21" fillId="0" borderId="69" xfId="0" applyFont="1" applyBorder="1" applyAlignment="1">
      <alignment horizontal="center" vertical="center"/>
    </xf>
    <xf numFmtId="0" fontId="22" fillId="0" borderId="0" xfId="0" applyFont="1" applyFill="1" applyBorder="1" applyAlignment="1">
      <alignment horizontal="justify" vertical="center" wrapText="1"/>
    </xf>
    <xf numFmtId="0" fontId="22" fillId="0" borderId="0" xfId="0" applyFont="1" applyFill="1" applyBorder="1" applyAlignment="1">
      <alignment/>
    </xf>
    <xf numFmtId="0" fontId="43" fillId="0" borderId="0" xfId="0" applyFont="1" applyBorder="1" applyAlignment="1">
      <alignment vertical="top"/>
    </xf>
    <xf numFmtId="0" fontId="44" fillId="0" borderId="70" xfId="0" applyFont="1" applyFill="1" applyBorder="1" applyAlignment="1">
      <alignment horizontal="center" vertical="center" wrapText="1"/>
    </xf>
    <xf numFmtId="0" fontId="44" fillId="0" borderId="71" xfId="0" applyFont="1" applyFill="1" applyBorder="1" applyAlignment="1">
      <alignment horizontal="center" vertical="center" wrapText="1"/>
    </xf>
    <xf numFmtId="0" fontId="44" fillId="0" borderId="72" xfId="0" applyFont="1" applyBorder="1" applyAlignment="1">
      <alignment horizontal="center" vertical="center" wrapText="1"/>
    </xf>
    <xf numFmtId="0" fontId="44" fillId="0" borderId="12" xfId="0" applyFont="1" applyBorder="1" applyAlignment="1">
      <alignment horizontal="center" vertical="center" wrapText="1"/>
    </xf>
    <xf numFmtId="0" fontId="44" fillId="0" borderId="72" xfId="0" applyFont="1" applyBorder="1" applyAlignment="1">
      <alignment horizontal="center" wrapText="1"/>
    </xf>
    <xf numFmtId="0" fontId="44" fillId="0" borderId="73" xfId="0" applyFont="1" applyBorder="1" applyAlignment="1">
      <alignment horizontal="center" wrapText="1"/>
    </xf>
    <xf numFmtId="0" fontId="44" fillId="41" borderId="40" xfId="0" applyFont="1" applyFill="1" applyBorder="1" applyAlignment="1">
      <alignment horizontal="center" vertical="center" wrapText="1"/>
    </xf>
    <xf numFmtId="0" fontId="44" fillId="41" borderId="64" xfId="0" applyFont="1" applyFill="1" applyBorder="1" applyAlignment="1">
      <alignment horizontal="center" vertical="center" wrapText="1"/>
    </xf>
    <xf numFmtId="0" fontId="44" fillId="0" borderId="10" xfId="0" applyFont="1" applyFill="1" applyBorder="1" applyAlignment="1">
      <alignment horizontal="center" vertical="center" wrapText="1"/>
    </xf>
    <xf numFmtId="0" fontId="19" fillId="0" borderId="10" xfId="0" applyFont="1" applyFill="1" applyBorder="1" applyAlignment="1">
      <alignment horizontal="left" vertical="top" wrapText="1"/>
    </xf>
    <xf numFmtId="3" fontId="19" fillId="0" borderId="10" xfId="0" applyNumberFormat="1" applyFont="1" applyBorder="1" applyAlignment="1">
      <alignment horizontal="left" vertical="top" wrapText="1"/>
    </xf>
    <xf numFmtId="0" fontId="0" fillId="0" borderId="0" xfId="0" applyFont="1" applyBorder="1" applyAlignment="1">
      <alignment horizontal="left" wrapText="1"/>
    </xf>
    <xf numFmtId="0" fontId="0" fillId="0" borderId="40" xfId="0" applyBorder="1" applyAlignment="1">
      <alignment horizontal="center"/>
    </xf>
    <xf numFmtId="0" fontId="0" fillId="0" borderId="64" xfId="0" applyFont="1" applyBorder="1" applyAlignment="1">
      <alignment horizontal="center"/>
    </xf>
    <xf numFmtId="0" fontId="0" fillId="0" borderId="24" xfId="0" applyFont="1" applyBorder="1" applyAlignment="1">
      <alignment horizontal="center"/>
    </xf>
    <xf numFmtId="0" fontId="4" fillId="0" borderId="74" xfId="0" applyFont="1" applyBorder="1" applyAlignment="1">
      <alignment horizontal="center" vertical="center"/>
    </xf>
    <xf numFmtId="0" fontId="4" fillId="0" borderId="75" xfId="0" applyFont="1" applyBorder="1" applyAlignment="1">
      <alignment horizontal="center" vertical="center"/>
    </xf>
    <xf numFmtId="0" fontId="4" fillId="0" borderId="65" xfId="0" applyFont="1" applyBorder="1" applyAlignment="1">
      <alignment horizontal="center" vertical="center"/>
    </xf>
    <xf numFmtId="0" fontId="4" fillId="0" borderId="66" xfId="0" applyFont="1" applyBorder="1" applyAlignment="1">
      <alignment horizontal="center" vertical="center"/>
    </xf>
    <xf numFmtId="0" fontId="4" fillId="0" borderId="10" xfId="0" applyFont="1" applyBorder="1" applyAlignment="1">
      <alignment horizontal="center" vertical="center"/>
    </xf>
    <xf numFmtId="0" fontId="9" fillId="0" borderId="0" xfId="0" applyFont="1" applyBorder="1" applyAlignment="1">
      <alignment horizontal="left" vertical="top"/>
    </xf>
    <xf numFmtId="0" fontId="0" fillId="0" borderId="0" xfId="0" applyFont="1" applyFill="1" applyBorder="1" applyAlignment="1">
      <alignment horizontal="justify" vertical="center" wrapText="1"/>
    </xf>
    <xf numFmtId="0" fontId="5" fillId="0" borderId="0" xfId="0" applyFont="1" applyBorder="1" applyAlignment="1">
      <alignment horizontal="left" wrapText="1"/>
    </xf>
    <xf numFmtId="0" fontId="0" fillId="0" borderId="40" xfId="0" applyBorder="1" applyAlignment="1">
      <alignment horizontal="center" wrapText="1"/>
    </xf>
    <xf numFmtId="0" fontId="0" fillId="0" borderId="0"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4" fillId="0" borderId="74" xfId="0" applyFont="1" applyBorder="1" applyAlignment="1">
      <alignment horizontal="center" vertical="center" wrapText="1"/>
    </xf>
    <xf numFmtId="0" fontId="4" fillId="0" borderId="75" xfId="0" applyFont="1" applyBorder="1" applyAlignment="1">
      <alignment horizontal="center" vertical="center" wrapText="1"/>
    </xf>
    <xf numFmtId="0" fontId="0" fillId="0" borderId="0" xfId="0" applyFont="1" applyFill="1" applyBorder="1" applyAlignment="1">
      <alignment horizontal="justify" vertical="center"/>
    </xf>
    <xf numFmtId="0" fontId="4" fillId="0" borderId="65" xfId="0" applyFont="1" applyBorder="1" applyAlignment="1">
      <alignment horizontal="center" vertical="center" wrapText="1"/>
    </xf>
    <xf numFmtId="0" fontId="4" fillId="0" borderId="66" xfId="0" applyFont="1" applyBorder="1" applyAlignment="1">
      <alignment horizontal="center" vertical="center" wrapText="1"/>
    </xf>
    <xf numFmtId="0" fontId="0" fillId="0" borderId="40" xfId="0" applyBorder="1" applyAlignment="1">
      <alignment horizontal="left" vertical="top" wrapText="1"/>
    </xf>
    <xf numFmtId="0" fontId="0" fillId="0" borderId="64" xfId="0" applyFont="1" applyBorder="1" applyAlignment="1">
      <alignment horizontal="left" vertical="top" wrapText="1"/>
    </xf>
    <xf numFmtId="0" fontId="0" fillId="0" borderId="24" xfId="0" applyFont="1" applyBorder="1" applyAlignment="1">
      <alignment horizontal="left" vertical="top" wrapText="1"/>
    </xf>
    <xf numFmtId="0" fontId="4" fillId="0" borderId="10" xfId="0" applyFont="1" applyBorder="1" applyAlignment="1">
      <alignment horizontal="center" vertical="center" wrapText="1"/>
    </xf>
    <xf numFmtId="0" fontId="5" fillId="0" borderId="0" xfId="0" applyFont="1" applyBorder="1" applyAlignment="1">
      <alignment horizontal="left" vertical="center" wrapText="1"/>
    </xf>
    <xf numFmtId="0" fontId="7" fillId="0" borderId="69" xfId="0" applyFont="1" applyBorder="1" applyAlignment="1">
      <alignment horizontal="center" vertical="center" wrapText="1"/>
    </xf>
    <xf numFmtId="0" fontId="12" fillId="0" borderId="12" xfId="0" applyFont="1" applyBorder="1" applyAlignment="1">
      <alignment horizontal="center" wrapText="1"/>
    </xf>
    <xf numFmtId="0" fontId="12" fillId="0" borderId="12" xfId="0" applyFont="1" applyBorder="1" applyAlignment="1">
      <alignment horizontal="center"/>
    </xf>
    <xf numFmtId="0" fontId="7" fillId="0" borderId="69" xfId="0" applyFont="1" applyBorder="1" applyAlignment="1">
      <alignment horizontal="center" vertical="center"/>
    </xf>
    <xf numFmtId="0" fontId="0" fillId="0" borderId="48" xfId="0" applyBorder="1" applyAlignment="1">
      <alignment horizontal="center"/>
    </xf>
    <xf numFmtId="0" fontId="0" fillId="0" borderId="48" xfId="0" applyFont="1" applyBorder="1" applyAlignment="1">
      <alignment horizontal="center"/>
    </xf>
    <xf numFmtId="0" fontId="4" fillId="41" borderId="10" xfId="0" applyFont="1" applyFill="1" applyBorder="1" applyAlignment="1">
      <alignment horizontal="center" vertical="center" wrapText="1"/>
    </xf>
    <xf numFmtId="0" fontId="4" fillId="0" borderId="72" xfId="0" applyFont="1" applyBorder="1" applyAlignment="1">
      <alignment horizontal="center" vertical="center" wrapText="1"/>
    </xf>
    <xf numFmtId="0" fontId="4" fillId="0" borderId="73" xfId="0" applyFont="1" applyBorder="1" applyAlignment="1">
      <alignment horizontal="center" vertical="center" wrapText="1"/>
    </xf>
    <xf numFmtId="0" fontId="0" fillId="0" borderId="0" xfId="0" applyFont="1" applyBorder="1" applyAlignment="1">
      <alignment wrapText="1"/>
    </xf>
    <xf numFmtId="0" fontId="4" fillId="0" borderId="70" xfId="0" applyFont="1" applyFill="1" applyBorder="1" applyAlignment="1">
      <alignment horizontal="center" vertical="center" wrapText="1"/>
    </xf>
    <xf numFmtId="0" fontId="4" fillId="0" borderId="71" xfId="0" applyFont="1" applyFill="1" applyBorder="1" applyAlignment="1">
      <alignment horizontal="center" vertical="center" wrapText="1"/>
    </xf>
    <xf numFmtId="0" fontId="4" fillId="0" borderId="12" xfId="0" applyFont="1" applyBorder="1" applyAlignment="1">
      <alignment horizontal="center" vertical="center" wrapText="1"/>
    </xf>
    <xf numFmtId="0" fontId="10" fillId="0" borderId="0" xfId="0" applyFont="1" applyFill="1" applyBorder="1" applyAlignment="1">
      <alignment horizontal="justify" vertical="center" wrapText="1"/>
    </xf>
    <xf numFmtId="0" fontId="13" fillId="0" borderId="0" xfId="0" applyFont="1" applyFill="1" applyBorder="1" applyAlignment="1">
      <alignment horizontal="justify" vertical="center"/>
    </xf>
    <xf numFmtId="0" fontId="0" fillId="0" borderId="0" xfId="0" applyFont="1" applyAlignment="1">
      <alignment horizontal="justify" vertical="center" wrapText="1"/>
    </xf>
    <xf numFmtId="0" fontId="9" fillId="0" borderId="0" xfId="0" applyFont="1" applyBorder="1" applyAlignment="1">
      <alignment horizontal="left" vertical="top" wrapText="1"/>
    </xf>
    <xf numFmtId="0" fontId="10" fillId="0" borderId="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7" fillId="0" borderId="0" xfId="0" applyFont="1" applyBorder="1" applyAlignment="1">
      <alignment horizontal="center" vertical="center"/>
    </xf>
    <xf numFmtId="0" fontId="0" fillId="0" borderId="12" xfId="0" applyBorder="1" applyAlignment="1">
      <alignment horizontal="center"/>
    </xf>
    <xf numFmtId="0" fontId="0" fillId="0" borderId="12" xfId="0" applyFont="1" applyBorder="1" applyAlignment="1">
      <alignment horizontal="center"/>
    </xf>
    <xf numFmtId="0" fontId="4" fillId="0" borderId="12" xfId="0" applyFont="1" applyBorder="1" applyAlignment="1">
      <alignment horizontal="center" vertical="top" wrapText="1"/>
    </xf>
    <xf numFmtId="0" fontId="0" fillId="0" borderId="0" xfId="0" applyBorder="1" applyAlignment="1">
      <alignment wrapText="1"/>
    </xf>
    <xf numFmtId="0" fontId="4" fillId="33" borderId="10" xfId="0" applyFont="1" applyFill="1" applyBorder="1" applyAlignment="1">
      <alignment horizontal="left" wrapText="1"/>
    </xf>
    <xf numFmtId="0" fontId="24" fillId="33" borderId="10" xfId="0" applyFont="1" applyFill="1" applyBorder="1" applyAlignment="1">
      <alignment horizontal="center" vertical="center"/>
    </xf>
    <xf numFmtId="0" fontId="19" fillId="0" borderId="40" xfId="0" applyFont="1" applyBorder="1" applyAlignment="1">
      <alignment horizontal="left"/>
    </xf>
    <xf numFmtId="0" fontId="19" fillId="0" borderId="64" xfId="0" applyFont="1" applyBorder="1" applyAlignment="1">
      <alignment horizontal="left"/>
    </xf>
    <xf numFmtId="0" fontId="19" fillId="0" borderId="24" xfId="0" applyFont="1" applyBorder="1" applyAlignment="1">
      <alignment horizontal="left"/>
    </xf>
    <xf numFmtId="0" fontId="8" fillId="0" borderId="0" xfId="0" applyFont="1" applyAlignment="1">
      <alignment horizontal="justify" wrapText="1"/>
    </xf>
    <xf numFmtId="0" fontId="0" fillId="0" borderId="0" xfId="0" applyFont="1" applyAlignment="1">
      <alignment horizontal="justify" wrapText="1"/>
    </xf>
    <xf numFmtId="0" fontId="8" fillId="0" borderId="0" xfId="0" applyFont="1" applyFill="1" applyAlignment="1">
      <alignment horizontal="justify" vertical="center" wrapText="1"/>
    </xf>
    <xf numFmtId="0" fontId="0" fillId="0" borderId="0" xfId="0" applyFont="1" applyFill="1" applyAlignment="1">
      <alignment horizontal="justify" vertical="center" wrapText="1"/>
    </xf>
    <xf numFmtId="0" fontId="0" fillId="0" borderId="0" xfId="0" applyFont="1" applyFill="1" applyAlignment="1">
      <alignment horizontal="justify" wrapText="1"/>
    </xf>
    <xf numFmtId="0" fontId="5" fillId="0" borderId="0" xfId="0" applyNumberFormat="1" applyFont="1" applyAlignment="1">
      <alignment horizontal="left" vertical="center" wrapText="1"/>
    </xf>
    <xf numFmtId="0" fontId="0" fillId="0" borderId="10" xfId="0" applyBorder="1" applyAlignment="1">
      <alignment horizontal="center"/>
    </xf>
    <xf numFmtId="0" fontId="0" fillId="0" borderId="10" xfId="0" applyFont="1" applyBorder="1" applyAlignment="1">
      <alignment horizontal="center"/>
    </xf>
    <xf numFmtId="0" fontId="8" fillId="0" borderId="0" xfId="0" applyNumberFormat="1" applyFont="1" applyAlignment="1">
      <alignment horizontal="justify" wrapText="1"/>
    </xf>
    <xf numFmtId="0" fontId="9" fillId="0" borderId="0" xfId="0" applyNumberFormat="1" applyFont="1" applyAlignment="1">
      <alignment horizontal="justify" wrapText="1"/>
    </xf>
    <xf numFmtId="0" fontId="4" fillId="0" borderId="0" xfId="0" applyNumberFormat="1" applyFont="1" applyAlignment="1">
      <alignment horizontal="justify" vertical="justify" wrapText="1"/>
    </xf>
    <xf numFmtId="0" fontId="8" fillId="0" borderId="0" xfId="0" applyNumberFormat="1" applyFont="1" applyAlignment="1">
      <alignment horizontal="justify" vertical="justify" wrapText="1"/>
    </xf>
    <xf numFmtId="0" fontId="7" fillId="0" borderId="10" xfId="0" applyFont="1" applyFill="1" applyBorder="1" applyAlignment="1">
      <alignment horizontal="center" vertical="center" wrapText="1"/>
    </xf>
    <xf numFmtId="0" fontId="0" fillId="0" borderId="40" xfId="0" applyFont="1" applyBorder="1" applyAlignment="1">
      <alignment horizontal="center"/>
    </xf>
    <xf numFmtId="0" fontId="0" fillId="0" borderId="64" xfId="0" applyFont="1" applyBorder="1" applyAlignment="1">
      <alignment horizontal="center"/>
    </xf>
    <xf numFmtId="0" fontId="0" fillId="0" borderId="24" xfId="0" applyFont="1" applyBorder="1" applyAlignment="1">
      <alignment horizontal="center"/>
    </xf>
    <xf numFmtId="0" fontId="0" fillId="0" borderId="0" xfId="0" applyFont="1" applyBorder="1" applyAlignment="1">
      <alignment horizontal="left"/>
    </xf>
    <xf numFmtId="0" fontId="4" fillId="0" borderId="0" xfId="0" applyFont="1" applyAlignment="1">
      <alignment horizontal="left" wrapText="1"/>
    </xf>
    <xf numFmtId="0" fontId="4" fillId="42" borderId="26" xfId="0" applyFont="1" applyFill="1" applyBorder="1" applyAlignment="1">
      <alignment horizontal="center" vertical="center" textRotation="255" wrapText="1" readingOrder="2"/>
    </xf>
    <xf numFmtId="0" fontId="0" fillId="0" borderId="27" xfId="0" applyBorder="1" applyAlignment="1">
      <alignment/>
    </xf>
    <xf numFmtId="0" fontId="0" fillId="0" borderId="76" xfId="0" applyBorder="1" applyAlignment="1">
      <alignment/>
    </xf>
    <xf numFmtId="0" fontId="0" fillId="0" borderId="77" xfId="0" applyBorder="1" applyAlignment="1">
      <alignment/>
    </xf>
    <xf numFmtId="0" fontId="0" fillId="0" borderId="30" xfId="0" applyBorder="1" applyAlignment="1">
      <alignment/>
    </xf>
    <xf numFmtId="0" fontId="0" fillId="0" borderId="31" xfId="0" applyBorder="1" applyAlignment="1">
      <alignment/>
    </xf>
    <xf numFmtId="0" fontId="4" fillId="34" borderId="30" xfId="0" applyFont="1" applyFill="1" applyBorder="1" applyAlignment="1">
      <alignment horizontal="center"/>
    </xf>
    <xf numFmtId="0" fontId="4" fillId="34" borderId="31" xfId="0" applyFont="1" applyFill="1" applyBorder="1" applyAlignment="1">
      <alignment horizontal="center"/>
    </xf>
    <xf numFmtId="0" fontId="4" fillId="35" borderId="30" xfId="0" applyFont="1" applyFill="1" applyBorder="1" applyAlignment="1">
      <alignment horizontal="center"/>
    </xf>
    <xf numFmtId="0" fontId="4" fillId="35" borderId="31" xfId="0" applyFont="1" applyFill="1" applyBorder="1" applyAlignment="1">
      <alignment horizontal="center"/>
    </xf>
    <xf numFmtId="0" fontId="4" fillId="33" borderId="29" xfId="0" applyFont="1" applyFill="1" applyBorder="1" applyAlignment="1">
      <alignment horizontal="center" vertical="center" textRotation="90" wrapText="1" readingOrder="2"/>
    </xf>
    <xf numFmtId="0" fontId="4" fillId="33" borderId="37" xfId="0" applyFont="1" applyFill="1" applyBorder="1" applyAlignment="1">
      <alignment horizontal="center" vertical="center" textRotation="90" wrapText="1" readingOrder="2"/>
    </xf>
    <xf numFmtId="0" fontId="4" fillId="33" borderId="32" xfId="0" applyFont="1" applyFill="1" applyBorder="1" applyAlignment="1">
      <alignment horizontal="center" vertical="center" textRotation="90" wrapText="1" readingOrder="2"/>
    </xf>
    <xf numFmtId="0" fontId="0" fillId="0" borderId="10" xfId="0" applyBorder="1" applyAlignment="1">
      <alignment horizontal="justify" vertical="top" wrapText="1"/>
    </xf>
    <xf numFmtId="0" fontId="0" fillId="0" borderId="40" xfId="0" applyBorder="1" applyAlignment="1">
      <alignment horizontal="justify" vertical="top" wrapText="1"/>
    </xf>
    <xf numFmtId="0" fontId="0" fillId="0" borderId="24" xfId="0" applyBorder="1" applyAlignment="1">
      <alignment horizontal="justify" vertical="top" wrapText="1"/>
    </xf>
    <xf numFmtId="0" fontId="4" fillId="39" borderId="29" xfId="0" applyFont="1" applyFill="1" applyBorder="1" applyAlignment="1">
      <alignment horizontal="center" vertical="center" textRotation="255" wrapText="1" readingOrder="2"/>
    </xf>
    <xf numFmtId="0" fontId="4" fillId="39" borderId="37" xfId="0" applyFont="1" applyFill="1" applyBorder="1" applyAlignment="1">
      <alignment horizontal="center" vertical="center" textRotation="255" wrapText="1" readingOrder="2"/>
    </xf>
    <xf numFmtId="0" fontId="4" fillId="39" borderId="32" xfId="0" applyFont="1" applyFill="1" applyBorder="1" applyAlignment="1">
      <alignment horizontal="center" vertical="center" textRotation="255" wrapText="1" readingOrder="2"/>
    </xf>
    <xf numFmtId="0" fontId="17" fillId="37" borderId="29" xfId="0" applyFont="1" applyFill="1" applyBorder="1" applyAlignment="1">
      <alignment horizontal="center" vertical="center" textRotation="255" wrapText="1"/>
    </xf>
    <xf numFmtId="0" fontId="17" fillId="37" borderId="32" xfId="0" applyFont="1" applyFill="1" applyBorder="1" applyAlignment="1">
      <alignment horizontal="center" vertical="center" textRotation="255" wrapText="1"/>
    </xf>
    <xf numFmtId="0" fontId="7" fillId="0" borderId="0" xfId="0" applyFont="1" applyFill="1" applyBorder="1" applyAlignment="1">
      <alignment horizontal="left" vertical="center" wrapText="1"/>
    </xf>
    <xf numFmtId="0" fontId="7" fillId="0" borderId="36" xfId="0" applyFont="1" applyFill="1" applyBorder="1" applyAlignment="1">
      <alignment horizontal="left" vertical="center" wrapText="1"/>
    </xf>
    <xf numFmtId="0" fontId="4" fillId="0" borderId="10" xfId="0" applyFont="1" applyFill="1" applyBorder="1" applyAlignment="1">
      <alignment horizontal="center" vertical="top" wrapText="1"/>
    </xf>
    <xf numFmtId="0" fontId="4" fillId="0" borderId="10" xfId="0" applyFont="1" applyFill="1" applyBorder="1" applyAlignment="1">
      <alignment horizontal="center" vertical="top"/>
    </xf>
    <xf numFmtId="0" fontId="0" fillId="0" borderId="0" xfId="0" applyFont="1" applyBorder="1" applyAlignment="1">
      <alignment horizontal="left" wrapText="1"/>
    </xf>
    <xf numFmtId="0" fontId="7" fillId="0" borderId="0" xfId="0" applyFont="1" applyBorder="1" applyAlignment="1">
      <alignment horizontal="left" vertical="center"/>
    </xf>
    <xf numFmtId="0" fontId="4" fillId="36" borderId="26" xfId="0" applyFont="1" applyFill="1" applyBorder="1" applyAlignment="1">
      <alignment horizontal="center" vertical="center" textRotation="255" wrapText="1" readingOrder="2"/>
    </xf>
    <xf numFmtId="0" fontId="4" fillId="36" borderId="76" xfId="0" applyFont="1" applyFill="1" applyBorder="1" applyAlignment="1">
      <alignment horizontal="center" vertical="center" textRotation="255" wrapText="1" readingOrder="2"/>
    </xf>
    <xf numFmtId="0" fontId="4" fillId="33" borderId="29" xfId="0" applyFont="1" applyFill="1" applyBorder="1" applyAlignment="1">
      <alignment horizontal="center" textRotation="90" wrapText="1" readingOrder="1"/>
    </xf>
    <xf numFmtId="0" fontId="4" fillId="33" borderId="37" xfId="0" applyFont="1" applyFill="1" applyBorder="1" applyAlignment="1">
      <alignment horizontal="center" textRotation="90" wrapText="1" readingOrder="1"/>
    </xf>
    <xf numFmtId="0" fontId="4" fillId="33" borderId="32" xfId="0" applyFont="1" applyFill="1" applyBorder="1" applyAlignment="1">
      <alignment horizontal="center" textRotation="90" wrapText="1" readingOrder="1"/>
    </xf>
    <xf numFmtId="0" fontId="4" fillId="0" borderId="0" xfId="52" applyFont="1" applyAlignment="1">
      <alignment horizontal="left" vertical="center" wrapText="1"/>
      <protection/>
    </xf>
    <xf numFmtId="0" fontId="10" fillId="0" borderId="0" xfId="0" applyFont="1" applyAlignment="1">
      <alignment horizontal="left" vertical="center" wrapText="1"/>
    </xf>
    <xf numFmtId="0" fontId="13" fillId="0" borderId="0" xfId="0" applyFont="1" applyAlignment="1">
      <alignment horizontal="left" vertical="center" wrapText="1"/>
    </xf>
    <xf numFmtId="0" fontId="7" fillId="0" borderId="10" xfId="0" applyFont="1" applyBorder="1" applyAlignment="1">
      <alignment horizontal="center" vertical="center" wrapText="1"/>
    </xf>
    <xf numFmtId="0" fontId="7" fillId="0" borderId="10" xfId="0" applyFont="1" applyBorder="1" applyAlignment="1">
      <alignment horizontal="center" vertical="center"/>
    </xf>
    <xf numFmtId="0" fontId="4" fillId="0" borderId="10" xfId="52" applyFont="1" applyBorder="1" applyAlignment="1">
      <alignment horizontal="center" vertical="center" wrapText="1"/>
      <protection/>
    </xf>
    <xf numFmtId="0" fontId="10" fillId="0" borderId="0" xfId="0" applyFont="1" applyFill="1" applyAlignment="1">
      <alignment horizontal="left" vertical="center" wrapText="1"/>
    </xf>
    <xf numFmtId="0" fontId="4" fillId="33" borderId="10" xfId="53" applyFont="1" applyFill="1" applyBorder="1" applyAlignment="1">
      <alignment horizontal="center" vertical="center"/>
      <protection/>
    </xf>
    <xf numFmtId="0" fontId="4" fillId="33" borderId="10" xfId="53" applyFont="1" applyFill="1" applyBorder="1" applyAlignment="1">
      <alignment horizontal="center" vertical="center" wrapText="1"/>
      <protection/>
    </xf>
    <xf numFmtId="0" fontId="4" fillId="38" borderId="10" xfId="52" applyFont="1" applyFill="1" applyBorder="1" applyAlignment="1">
      <alignment horizontal="center" vertical="center" wrapText="1"/>
      <protection/>
    </xf>
    <xf numFmtId="0" fontId="9" fillId="33" borderId="10" xfId="53" applyFont="1" applyFill="1" applyBorder="1" applyAlignment="1">
      <alignment horizontal="center" vertical="center" wrapText="1"/>
      <protection/>
    </xf>
    <xf numFmtId="0" fontId="4" fillId="0" borderId="0" xfId="52" applyFont="1" applyBorder="1" applyAlignment="1">
      <alignment horizontal="left" vertical="center" wrapText="1"/>
      <protection/>
    </xf>
    <xf numFmtId="0" fontId="0" fillId="0" borderId="0" xfId="0" applyFont="1" applyFill="1" applyBorder="1" applyAlignment="1">
      <alignment wrapText="1"/>
    </xf>
    <xf numFmtId="0" fontId="0" fillId="0" borderId="0" xfId="0" applyFont="1" applyFill="1" applyBorder="1" applyAlignment="1">
      <alignment horizontal="left" wrapText="1"/>
    </xf>
    <xf numFmtId="0" fontId="4" fillId="0" borderId="10" xfId="52" applyFont="1" applyFill="1" applyBorder="1" applyAlignment="1">
      <alignment horizontal="left" vertical="center" wrapText="1"/>
      <protection/>
    </xf>
    <xf numFmtId="3" fontId="9" fillId="0" borderId="10" xfId="52" applyNumberFormat="1" applyFont="1" applyBorder="1" applyAlignment="1">
      <alignment horizontal="justify" vertical="center" wrapText="1"/>
      <protection/>
    </xf>
  </cellXfs>
  <cellStyles count="51">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_Efektywnosc_zatrudnieniowa_GWP_Tabela do Sprawozdania" xfId="52"/>
    <cellStyle name="Normalny_załącznik_wskaźniki1708" xfId="53"/>
    <cellStyle name="Obliczenia" xfId="54"/>
    <cellStyle name="Followed Hyperlink" xfId="55"/>
    <cellStyle name="Percent" xfId="56"/>
    <cellStyle name="Suma" xfId="57"/>
    <cellStyle name="Tekst objaśnienia" xfId="58"/>
    <cellStyle name="Tekst ostrzeżenia" xfId="59"/>
    <cellStyle name="Tytuł" xfId="60"/>
    <cellStyle name="Uwaga" xfId="61"/>
    <cellStyle name="Currency" xfId="62"/>
    <cellStyle name="Currency [0]" xfId="63"/>
    <cellStyle name="Złe"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310"/>
  <sheetViews>
    <sheetView zoomScale="85" zoomScaleNormal="85" zoomScalePageLayoutView="0" workbookViewId="0" topLeftCell="B147">
      <selection activeCell="J230" sqref="J230"/>
    </sheetView>
  </sheetViews>
  <sheetFormatPr defaultColWidth="9.140625" defaultRowHeight="12.75" outlineLevelRow="1"/>
  <cols>
    <col min="1" max="1" width="5.00390625" style="283" customWidth="1"/>
    <col min="2" max="2" width="82.57421875" style="283" customWidth="1"/>
    <col min="3" max="10" width="14.7109375" style="283" customWidth="1"/>
    <col min="11" max="11" width="9.140625" style="282" customWidth="1"/>
    <col min="12" max="16384" width="9.140625" style="283" customWidth="1"/>
  </cols>
  <sheetData>
    <row r="1" spans="1:11" s="144" customFormat="1" ht="15">
      <c r="A1" s="323" t="s">
        <v>50</v>
      </c>
      <c r="B1" s="324"/>
      <c r="C1" s="324"/>
      <c r="D1" s="324"/>
      <c r="E1" s="324"/>
      <c r="F1" s="324"/>
      <c r="G1" s="324"/>
      <c r="K1" s="278"/>
    </row>
    <row r="2" spans="4:11" s="144" customFormat="1" ht="12.75">
      <c r="D2" s="70"/>
      <c r="E2" s="279"/>
      <c r="F2" s="279"/>
      <c r="G2" s="71"/>
      <c r="K2" s="278"/>
    </row>
    <row r="3" spans="1:11" s="144" customFormat="1" ht="51.75" customHeight="1">
      <c r="A3" s="325" t="s">
        <v>290</v>
      </c>
      <c r="B3" s="325"/>
      <c r="C3" s="326" t="s">
        <v>407</v>
      </c>
      <c r="D3" s="327"/>
      <c r="E3" s="327"/>
      <c r="F3" s="327"/>
      <c r="G3" s="327"/>
      <c r="H3" s="327"/>
      <c r="I3" s="327"/>
      <c r="J3" s="327"/>
      <c r="K3" s="278"/>
    </row>
    <row r="4" spans="1:11" s="144" customFormat="1" ht="14.25">
      <c r="A4" s="23"/>
      <c r="B4" s="23"/>
      <c r="C4" s="280"/>
      <c r="D4" s="70"/>
      <c r="G4" s="70"/>
      <c r="K4" s="278"/>
    </row>
    <row r="5" spans="1:11" s="144" customFormat="1" ht="14.25">
      <c r="A5" s="328" t="s">
        <v>306</v>
      </c>
      <c r="B5" s="328"/>
      <c r="C5" s="329" t="s">
        <v>408</v>
      </c>
      <c r="D5" s="330"/>
      <c r="E5" s="330"/>
      <c r="F5" s="330"/>
      <c r="G5" s="330"/>
      <c r="H5" s="330"/>
      <c r="I5" s="330"/>
      <c r="J5" s="330"/>
      <c r="K5" s="278"/>
    </row>
    <row r="6" spans="1:11" s="144" customFormat="1" ht="14.25">
      <c r="A6" s="72"/>
      <c r="B6" s="73"/>
      <c r="C6" s="281"/>
      <c r="D6" s="70"/>
      <c r="G6" s="70"/>
      <c r="K6" s="278"/>
    </row>
    <row r="7" spans="1:11" s="144" customFormat="1" ht="14.25">
      <c r="A7" s="328" t="s">
        <v>307</v>
      </c>
      <c r="B7" s="328"/>
      <c r="C7" s="329" t="s">
        <v>424</v>
      </c>
      <c r="D7" s="330"/>
      <c r="E7" s="330"/>
      <c r="F7" s="330"/>
      <c r="G7" s="330"/>
      <c r="H7" s="330"/>
      <c r="I7" s="330"/>
      <c r="J7" s="330"/>
      <c r="K7" s="278"/>
    </row>
    <row r="8" spans="4:11" s="144" customFormat="1" ht="12.75">
      <c r="D8" s="70"/>
      <c r="G8" s="70"/>
      <c r="K8" s="278"/>
    </row>
    <row r="9" spans="1:11" s="144" customFormat="1" ht="12.75" customHeight="1">
      <c r="A9" s="331" t="s">
        <v>316</v>
      </c>
      <c r="B9" s="331"/>
      <c r="C9" s="331"/>
      <c r="D9" s="331"/>
      <c r="E9" s="331"/>
      <c r="F9" s="331"/>
      <c r="G9" s="331"/>
      <c r="H9" s="331"/>
      <c r="I9" s="331"/>
      <c r="J9" s="331"/>
      <c r="K9" s="278"/>
    </row>
    <row r="10" spans="1:11" s="144" customFormat="1" ht="12.75">
      <c r="A10" s="332" t="s">
        <v>317</v>
      </c>
      <c r="B10" s="332"/>
      <c r="C10" s="332"/>
      <c r="D10" s="332"/>
      <c r="E10" s="332"/>
      <c r="F10" s="332"/>
      <c r="G10" s="332"/>
      <c r="H10" s="332"/>
      <c r="I10" s="332"/>
      <c r="J10" s="332"/>
      <c r="K10" s="278"/>
    </row>
    <row r="11" spans="1:11" s="144" customFormat="1" ht="12.75" customHeight="1">
      <c r="A11" s="333" t="s">
        <v>302</v>
      </c>
      <c r="B11" s="333"/>
      <c r="C11" s="333"/>
      <c r="D11" s="333"/>
      <c r="E11" s="333"/>
      <c r="F11" s="333"/>
      <c r="G11" s="333"/>
      <c r="H11" s="333"/>
      <c r="I11" s="333"/>
      <c r="J11" s="333"/>
      <c r="K11" s="278"/>
    </row>
    <row r="12" spans="1:11" s="144" customFormat="1" ht="12.75">
      <c r="A12" s="334"/>
      <c r="B12" s="333"/>
      <c r="C12" s="333"/>
      <c r="D12" s="333"/>
      <c r="E12" s="333"/>
      <c r="F12" s="333"/>
      <c r="G12" s="333"/>
      <c r="H12" s="333"/>
      <c r="I12" s="333"/>
      <c r="J12" s="74"/>
      <c r="K12" s="278"/>
    </row>
    <row r="13" spans="1:10" ht="13.5" customHeight="1">
      <c r="A13" s="335" t="s">
        <v>49</v>
      </c>
      <c r="B13" s="335"/>
      <c r="C13" s="335"/>
      <c r="D13" s="335"/>
      <c r="E13" s="335"/>
      <c r="F13" s="335"/>
      <c r="G13" s="335"/>
      <c r="H13" s="335"/>
      <c r="I13" s="335"/>
      <c r="J13" s="335"/>
    </row>
    <row r="14" spans="1:11" s="285" customFormat="1" ht="39.75" customHeight="1">
      <c r="A14" s="336" t="s">
        <v>147</v>
      </c>
      <c r="B14" s="336"/>
      <c r="C14" s="336"/>
      <c r="D14" s="336"/>
      <c r="E14" s="336"/>
      <c r="F14" s="336"/>
      <c r="G14" s="336"/>
      <c r="H14" s="336"/>
      <c r="I14" s="336"/>
      <c r="J14" s="336"/>
      <c r="K14" s="284"/>
    </row>
    <row r="15" spans="1:11" s="144" customFormat="1" ht="40.5" customHeight="1">
      <c r="A15" s="337" t="s">
        <v>51</v>
      </c>
      <c r="B15" s="337"/>
      <c r="C15" s="337"/>
      <c r="D15" s="337"/>
      <c r="E15" s="337"/>
      <c r="F15" s="337"/>
      <c r="G15" s="337"/>
      <c r="H15" s="337"/>
      <c r="I15" s="337"/>
      <c r="J15" s="337"/>
      <c r="K15" s="278"/>
    </row>
    <row r="16" spans="1:11" s="144" customFormat="1" ht="18" customHeight="1">
      <c r="A16" s="338" t="s">
        <v>301</v>
      </c>
      <c r="B16" s="338"/>
      <c r="C16" s="338"/>
      <c r="D16" s="338"/>
      <c r="E16" s="338"/>
      <c r="F16" s="338"/>
      <c r="G16" s="338"/>
      <c r="H16" s="338"/>
      <c r="I16" s="338"/>
      <c r="J16" s="338"/>
      <c r="K16" s="278"/>
    </row>
    <row r="17" spans="1:11" s="144" customFormat="1" ht="44.25" customHeight="1">
      <c r="A17" s="339" t="s">
        <v>66</v>
      </c>
      <c r="B17" s="340"/>
      <c r="C17" s="340"/>
      <c r="D17" s="340"/>
      <c r="E17" s="340"/>
      <c r="F17" s="340"/>
      <c r="G17" s="340"/>
      <c r="H17" s="340"/>
      <c r="I17" s="340"/>
      <c r="J17" s="340"/>
      <c r="K17" s="278"/>
    </row>
    <row r="18" spans="1:11" s="144" customFormat="1" ht="13.5" thickBot="1">
      <c r="A18" s="334"/>
      <c r="B18" s="334"/>
      <c r="C18" s="334"/>
      <c r="D18" s="334"/>
      <c r="E18" s="334"/>
      <c r="F18" s="334"/>
      <c r="G18" s="334"/>
      <c r="H18" s="334"/>
      <c r="I18" s="334"/>
      <c r="J18" s="74"/>
      <c r="K18" s="278"/>
    </row>
    <row r="19" spans="1:11" s="144" customFormat="1" ht="21.75" customHeight="1">
      <c r="A19" s="341" t="s">
        <v>379</v>
      </c>
      <c r="B19" s="343" t="s">
        <v>311</v>
      </c>
      <c r="C19" s="345" t="s">
        <v>380</v>
      </c>
      <c r="D19" s="347" t="s">
        <v>319</v>
      </c>
      <c r="E19" s="348"/>
      <c r="F19" s="349"/>
      <c r="G19" s="347" t="s">
        <v>320</v>
      </c>
      <c r="H19" s="348"/>
      <c r="I19" s="349"/>
      <c r="J19" s="350" t="s">
        <v>381</v>
      </c>
      <c r="K19" s="278"/>
    </row>
    <row r="20" spans="1:11" s="144" customFormat="1" ht="24" customHeight="1">
      <c r="A20" s="342"/>
      <c r="B20" s="344"/>
      <c r="C20" s="346"/>
      <c r="D20" s="150" t="s">
        <v>312</v>
      </c>
      <c r="E20" s="150" t="s">
        <v>313</v>
      </c>
      <c r="F20" s="150" t="s">
        <v>308</v>
      </c>
      <c r="G20" s="150" t="s">
        <v>312</v>
      </c>
      <c r="H20" s="150" t="s">
        <v>313</v>
      </c>
      <c r="I20" s="150" t="s">
        <v>308</v>
      </c>
      <c r="J20" s="351"/>
      <c r="K20" s="278"/>
    </row>
    <row r="21" spans="1:11" s="144" customFormat="1" ht="16.5" thickBot="1">
      <c r="A21" s="151">
        <v>1</v>
      </c>
      <c r="B21" s="152">
        <v>2</v>
      </c>
      <c r="C21" s="152">
        <v>3</v>
      </c>
      <c r="D21" s="153">
        <v>4</v>
      </c>
      <c r="E21" s="153">
        <v>5</v>
      </c>
      <c r="F21" s="153">
        <v>6</v>
      </c>
      <c r="G21" s="153">
        <v>7</v>
      </c>
      <c r="H21" s="153">
        <v>8</v>
      </c>
      <c r="I21" s="153">
        <v>9</v>
      </c>
      <c r="J21" s="154" t="s">
        <v>382</v>
      </c>
      <c r="K21" s="278"/>
    </row>
    <row r="22" spans="1:11" s="144" customFormat="1" ht="24.75" customHeight="1">
      <c r="A22" s="352" t="s">
        <v>334</v>
      </c>
      <c r="B22" s="352"/>
      <c r="C22" s="352"/>
      <c r="D22" s="352"/>
      <c r="E22" s="352"/>
      <c r="F22" s="352"/>
      <c r="G22" s="352"/>
      <c r="H22" s="352"/>
      <c r="I22" s="352"/>
      <c r="J22" s="352"/>
      <c r="K22" s="278"/>
    </row>
    <row r="23" spans="1:11" s="144" customFormat="1" ht="24.75" customHeight="1">
      <c r="A23" s="353" t="s">
        <v>232</v>
      </c>
      <c r="B23" s="354"/>
      <c r="C23" s="354"/>
      <c r="D23" s="354"/>
      <c r="E23" s="354"/>
      <c r="F23" s="354"/>
      <c r="G23" s="354"/>
      <c r="H23" s="354"/>
      <c r="I23" s="354"/>
      <c r="J23" s="355"/>
      <c r="K23" s="278"/>
    </row>
    <row r="24" spans="1:11" s="145" customFormat="1" ht="26.25" customHeight="1" hidden="1" outlineLevel="1">
      <c r="A24" s="271">
        <v>1</v>
      </c>
      <c r="B24" s="155" t="s">
        <v>335</v>
      </c>
      <c r="C24" s="156"/>
      <c r="D24" s="157"/>
      <c r="E24" s="158"/>
      <c r="F24" s="158"/>
      <c r="G24" s="157"/>
      <c r="H24" s="158"/>
      <c r="I24" s="158"/>
      <c r="J24" s="159"/>
      <c r="K24" s="270"/>
    </row>
    <row r="25" spans="1:11" s="287" customFormat="1" ht="26.25" customHeight="1" hidden="1" outlineLevel="1">
      <c r="A25" s="271">
        <v>2</v>
      </c>
      <c r="B25" s="155" t="s">
        <v>383</v>
      </c>
      <c r="C25" s="160"/>
      <c r="D25" s="160" t="s">
        <v>291</v>
      </c>
      <c r="E25" s="160" t="s">
        <v>291</v>
      </c>
      <c r="F25" s="158"/>
      <c r="G25" s="160" t="s">
        <v>291</v>
      </c>
      <c r="H25" s="160" t="s">
        <v>291</v>
      </c>
      <c r="I25" s="158"/>
      <c r="J25" s="159"/>
      <c r="K25" s="286"/>
    </row>
    <row r="26" spans="1:11" s="145" customFormat="1" ht="19.5" customHeight="1" hidden="1" outlineLevel="1">
      <c r="A26" s="271" t="s">
        <v>300</v>
      </c>
      <c r="B26" s="155" t="s">
        <v>297</v>
      </c>
      <c r="C26" s="161"/>
      <c r="D26" s="157"/>
      <c r="E26" s="158"/>
      <c r="F26" s="158"/>
      <c r="G26" s="157"/>
      <c r="H26" s="158"/>
      <c r="I26" s="158"/>
      <c r="J26" s="158"/>
      <c r="K26" s="270"/>
    </row>
    <row r="27" spans="1:11" s="144" customFormat="1" ht="24.75" customHeight="1" collapsed="1">
      <c r="A27" s="353" t="s">
        <v>245</v>
      </c>
      <c r="B27" s="354"/>
      <c r="C27" s="354"/>
      <c r="D27" s="354"/>
      <c r="E27" s="354"/>
      <c r="F27" s="354"/>
      <c r="G27" s="354"/>
      <c r="H27" s="354"/>
      <c r="I27" s="354"/>
      <c r="J27" s="355"/>
      <c r="K27" s="278"/>
    </row>
    <row r="28" spans="1:11" s="287" customFormat="1" ht="27" customHeight="1" hidden="1" outlineLevel="1">
      <c r="A28" s="271">
        <v>1</v>
      </c>
      <c r="B28" s="155" t="s">
        <v>356</v>
      </c>
      <c r="C28" s="156"/>
      <c r="D28" s="160" t="s">
        <v>291</v>
      </c>
      <c r="E28" s="160" t="s">
        <v>291</v>
      </c>
      <c r="F28" s="156"/>
      <c r="G28" s="160" t="s">
        <v>291</v>
      </c>
      <c r="H28" s="160" t="s">
        <v>291</v>
      </c>
      <c r="I28" s="156"/>
      <c r="J28" s="160"/>
      <c r="K28" s="286"/>
    </row>
    <row r="29" spans="1:11" s="145" customFormat="1" ht="26.25" customHeight="1" hidden="1" outlineLevel="1">
      <c r="A29" s="271">
        <v>2</v>
      </c>
      <c r="B29" s="155" t="s">
        <v>336</v>
      </c>
      <c r="C29" s="156"/>
      <c r="D29" s="156"/>
      <c r="E29" s="156"/>
      <c r="F29" s="156"/>
      <c r="G29" s="156"/>
      <c r="H29" s="156"/>
      <c r="I29" s="156"/>
      <c r="J29" s="162"/>
      <c r="K29" s="270"/>
    </row>
    <row r="30" spans="1:11" s="145" customFormat="1" ht="19.5" customHeight="1" hidden="1" outlineLevel="1">
      <c r="A30" s="271" t="s">
        <v>300</v>
      </c>
      <c r="B30" s="155" t="s">
        <v>297</v>
      </c>
      <c r="C30" s="161"/>
      <c r="D30" s="157"/>
      <c r="E30" s="158"/>
      <c r="F30" s="158"/>
      <c r="G30" s="157"/>
      <c r="H30" s="158"/>
      <c r="I30" s="158"/>
      <c r="J30" s="158"/>
      <c r="K30" s="270"/>
    </row>
    <row r="31" spans="1:11" s="144" customFormat="1" ht="24.75" customHeight="1" collapsed="1">
      <c r="A31" s="353" t="s">
        <v>246</v>
      </c>
      <c r="B31" s="354"/>
      <c r="C31" s="354"/>
      <c r="D31" s="354"/>
      <c r="E31" s="354"/>
      <c r="F31" s="354"/>
      <c r="G31" s="354"/>
      <c r="H31" s="354"/>
      <c r="I31" s="354"/>
      <c r="J31" s="355"/>
      <c r="K31" s="278"/>
    </row>
    <row r="32" spans="1:11" s="145" customFormat="1" ht="19.5" customHeight="1" hidden="1" outlineLevel="1">
      <c r="A32" s="356">
        <v>1</v>
      </c>
      <c r="B32" s="163" t="s">
        <v>348</v>
      </c>
      <c r="C32" s="156"/>
      <c r="D32" s="157"/>
      <c r="E32" s="158"/>
      <c r="F32" s="158"/>
      <c r="G32" s="157"/>
      <c r="H32" s="158"/>
      <c r="I32" s="158"/>
      <c r="J32" s="158"/>
      <c r="K32" s="270"/>
    </row>
    <row r="33" spans="1:11" s="145" customFormat="1" ht="19.5" customHeight="1" hidden="1" outlineLevel="1">
      <c r="A33" s="356"/>
      <c r="B33" s="164" t="s">
        <v>385</v>
      </c>
      <c r="C33" s="161"/>
      <c r="D33" s="157"/>
      <c r="E33" s="158"/>
      <c r="F33" s="158"/>
      <c r="G33" s="157"/>
      <c r="H33" s="158"/>
      <c r="I33" s="158"/>
      <c r="J33" s="158"/>
      <c r="K33" s="270"/>
    </row>
    <row r="34" spans="1:11" s="145" customFormat="1" ht="19.5" customHeight="1" hidden="1" outlineLevel="1">
      <c r="A34" s="356"/>
      <c r="B34" s="164" t="s">
        <v>386</v>
      </c>
      <c r="C34" s="161"/>
      <c r="D34" s="157"/>
      <c r="E34" s="158"/>
      <c r="F34" s="158"/>
      <c r="G34" s="157"/>
      <c r="H34" s="158"/>
      <c r="I34" s="158"/>
      <c r="J34" s="158"/>
      <c r="K34" s="270"/>
    </row>
    <row r="35" spans="1:11" s="145" customFormat="1" ht="25.5" customHeight="1" hidden="1" outlineLevel="1">
      <c r="A35" s="356"/>
      <c r="B35" s="164" t="s">
        <v>151</v>
      </c>
      <c r="C35" s="161"/>
      <c r="D35" s="157"/>
      <c r="E35" s="158"/>
      <c r="F35" s="158"/>
      <c r="G35" s="157"/>
      <c r="H35" s="158"/>
      <c r="I35" s="158"/>
      <c r="J35" s="158"/>
      <c r="K35" s="270"/>
    </row>
    <row r="36" spans="1:11" s="145" customFormat="1" ht="19.5" customHeight="1" hidden="1" outlineLevel="1">
      <c r="A36" s="356"/>
      <c r="B36" s="164" t="s">
        <v>387</v>
      </c>
      <c r="C36" s="161"/>
      <c r="D36" s="157"/>
      <c r="E36" s="158"/>
      <c r="F36" s="158"/>
      <c r="G36" s="157"/>
      <c r="H36" s="158"/>
      <c r="I36" s="158"/>
      <c r="J36" s="158"/>
      <c r="K36" s="270"/>
    </row>
    <row r="37" spans="1:11" s="145" customFormat="1" ht="19.5" customHeight="1" hidden="1" outlineLevel="1">
      <c r="A37" s="356"/>
      <c r="B37" s="164" t="s">
        <v>388</v>
      </c>
      <c r="C37" s="161"/>
      <c r="D37" s="157"/>
      <c r="E37" s="158"/>
      <c r="F37" s="158"/>
      <c r="G37" s="157"/>
      <c r="H37" s="158"/>
      <c r="I37" s="158"/>
      <c r="J37" s="158"/>
      <c r="K37" s="270"/>
    </row>
    <row r="38" spans="1:11" s="145" customFormat="1" ht="19.5" customHeight="1" hidden="1" outlineLevel="1">
      <c r="A38" s="271" t="s">
        <v>300</v>
      </c>
      <c r="B38" s="155" t="s">
        <v>297</v>
      </c>
      <c r="C38" s="161"/>
      <c r="D38" s="157"/>
      <c r="E38" s="158"/>
      <c r="F38" s="158"/>
      <c r="G38" s="157"/>
      <c r="H38" s="158"/>
      <c r="I38" s="158"/>
      <c r="J38" s="158"/>
      <c r="K38" s="270"/>
    </row>
    <row r="39" spans="1:11" s="145" customFormat="1" ht="19.5" customHeight="1" collapsed="1">
      <c r="A39" s="353" t="s">
        <v>152</v>
      </c>
      <c r="B39" s="354"/>
      <c r="C39" s="354"/>
      <c r="D39" s="354"/>
      <c r="E39" s="354"/>
      <c r="F39" s="354"/>
      <c r="G39" s="354"/>
      <c r="H39" s="354"/>
      <c r="I39" s="354"/>
      <c r="J39" s="355"/>
      <c r="K39" s="270"/>
    </row>
    <row r="40" spans="1:11" s="145" customFormat="1" ht="26.25" customHeight="1" hidden="1" outlineLevel="1">
      <c r="A40" s="271">
        <v>1</v>
      </c>
      <c r="B40" s="155" t="s">
        <v>154</v>
      </c>
      <c r="C40" s="161"/>
      <c r="D40" s="160" t="s">
        <v>291</v>
      </c>
      <c r="E40" s="160" t="s">
        <v>291</v>
      </c>
      <c r="F40" s="156"/>
      <c r="G40" s="160" t="s">
        <v>291</v>
      </c>
      <c r="H40" s="160" t="s">
        <v>291</v>
      </c>
      <c r="I40" s="158"/>
      <c r="J40" s="158"/>
      <c r="K40" s="270"/>
    </row>
    <row r="41" spans="1:11" s="145" customFormat="1" ht="26.25" customHeight="1" hidden="1" outlineLevel="1">
      <c r="A41" s="165">
        <v>2</v>
      </c>
      <c r="B41" s="163" t="s">
        <v>15</v>
      </c>
      <c r="C41" s="190" t="s">
        <v>231</v>
      </c>
      <c r="D41" s="190" t="s">
        <v>291</v>
      </c>
      <c r="E41" s="190" t="s">
        <v>291</v>
      </c>
      <c r="F41" s="166"/>
      <c r="G41" s="190" t="s">
        <v>291</v>
      </c>
      <c r="H41" s="190" t="s">
        <v>291</v>
      </c>
      <c r="I41" s="166"/>
      <c r="J41" s="190" t="s">
        <v>291</v>
      </c>
      <c r="K41" s="270"/>
    </row>
    <row r="42" spans="1:11" s="145" customFormat="1" ht="26.25" customHeight="1" hidden="1" outlineLevel="1">
      <c r="A42" s="271" t="s">
        <v>300</v>
      </c>
      <c r="B42" s="155" t="s">
        <v>297</v>
      </c>
      <c r="C42" s="161"/>
      <c r="D42" s="160"/>
      <c r="E42" s="160"/>
      <c r="F42" s="156"/>
      <c r="G42" s="160"/>
      <c r="H42" s="160"/>
      <c r="I42" s="158"/>
      <c r="J42" s="158"/>
      <c r="K42" s="270"/>
    </row>
    <row r="43" spans="1:11" s="145" customFormat="1" ht="19.5" customHeight="1" collapsed="1">
      <c r="A43" s="353" t="s">
        <v>153</v>
      </c>
      <c r="B43" s="354"/>
      <c r="C43" s="354"/>
      <c r="D43" s="354"/>
      <c r="E43" s="354"/>
      <c r="F43" s="354"/>
      <c r="G43" s="354"/>
      <c r="H43" s="354"/>
      <c r="I43" s="354"/>
      <c r="J43" s="355"/>
      <c r="K43" s="270"/>
    </row>
    <row r="44" spans="1:11" s="145" customFormat="1" ht="47.25" hidden="1" outlineLevel="1">
      <c r="A44" s="271">
        <v>1</v>
      </c>
      <c r="B44" s="155" t="s">
        <v>155</v>
      </c>
      <c r="C44" s="161"/>
      <c r="D44" s="157"/>
      <c r="E44" s="158"/>
      <c r="F44" s="158"/>
      <c r="G44" s="157"/>
      <c r="H44" s="158"/>
      <c r="I44" s="158"/>
      <c r="J44" s="158"/>
      <c r="K44" s="270"/>
    </row>
    <row r="45" spans="1:11" s="145" customFormat="1" ht="19.5" customHeight="1" hidden="1" outlineLevel="1">
      <c r="A45" s="271" t="s">
        <v>300</v>
      </c>
      <c r="B45" s="155" t="s">
        <v>297</v>
      </c>
      <c r="C45" s="161"/>
      <c r="D45" s="157"/>
      <c r="E45" s="158"/>
      <c r="F45" s="158"/>
      <c r="G45" s="157"/>
      <c r="H45" s="158"/>
      <c r="I45" s="158"/>
      <c r="J45" s="158"/>
      <c r="K45" s="270"/>
    </row>
    <row r="46" spans="1:11" s="145" customFormat="1" ht="24.75" customHeight="1" collapsed="1">
      <c r="A46" s="353" t="s">
        <v>337</v>
      </c>
      <c r="B46" s="354"/>
      <c r="C46" s="354"/>
      <c r="D46" s="354"/>
      <c r="E46" s="354"/>
      <c r="F46" s="354"/>
      <c r="G46" s="354"/>
      <c r="H46" s="354"/>
      <c r="I46" s="354"/>
      <c r="J46" s="355"/>
      <c r="K46" s="270"/>
    </row>
    <row r="47" spans="1:11" s="144" customFormat="1" ht="24.75" customHeight="1">
      <c r="A47" s="353" t="s">
        <v>247</v>
      </c>
      <c r="B47" s="354"/>
      <c r="C47" s="354"/>
      <c r="D47" s="354"/>
      <c r="E47" s="354"/>
      <c r="F47" s="354"/>
      <c r="G47" s="354"/>
      <c r="H47" s="354"/>
      <c r="I47" s="354"/>
      <c r="J47" s="355"/>
      <c r="K47" s="278"/>
    </row>
    <row r="48" spans="1:11" s="287" customFormat="1" ht="19.5" customHeight="1" hidden="1" outlineLevel="1">
      <c r="A48" s="271">
        <v>1</v>
      </c>
      <c r="B48" s="155" t="s">
        <v>357</v>
      </c>
      <c r="C48" s="156"/>
      <c r="D48" s="160" t="s">
        <v>291</v>
      </c>
      <c r="E48" s="160" t="s">
        <v>291</v>
      </c>
      <c r="F48" s="156"/>
      <c r="G48" s="160" t="s">
        <v>291</v>
      </c>
      <c r="H48" s="160" t="s">
        <v>291</v>
      </c>
      <c r="I48" s="156"/>
      <c r="J48" s="160"/>
      <c r="K48" s="286"/>
    </row>
    <row r="49" spans="1:11" s="145" customFormat="1" ht="27" customHeight="1" hidden="1" outlineLevel="1">
      <c r="A49" s="356">
        <v>2</v>
      </c>
      <c r="B49" s="155" t="s">
        <v>338</v>
      </c>
      <c r="C49" s="156"/>
      <c r="D49" s="156"/>
      <c r="E49" s="156"/>
      <c r="F49" s="156"/>
      <c r="G49" s="156"/>
      <c r="H49" s="156"/>
      <c r="I49" s="156"/>
      <c r="J49" s="162"/>
      <c r="K49" s="270"/>
    </row>
    <row r="50" spans="1:11" s="145" customFormat="1" ht="19.5" customHeight="1" hidden="1" outlineLevel="1">
      <c r="A50" s="356"/>
      <c r="B50" s="167" t="s">
        <v>389</v>
      </c>
      <c r="C50" s="168"/>
      <c r="D50" s="168"/>
      <c r="E50" s="168"/>
      <c r="F50" s="156"/>
      <c r="G50" s="168"/>
      <c r="H50" s="168"/>
      <c r="I50" s="156"/>
      <c r="J50" s="162"/>
      <c r="K50" s="270"/>
    </row>
    <row r="51" spans="1:11" s="145" customFormat="1" ht="30.75" customHeight="1" hidden="1" outlineLevel="1">
      <c r="A51" s="271">
        <v>3</v>
      </c>
      <c r="B51" s="155" t="s">
        <v>339</v>
      </c>
      <c r="C51" s="156"/>
      <c r="D51" s="156"/>
      <c r="E51" s="156"/>
      <c r="F51" s="156"/>
      <c r="G51" s="156"/>
      <c r="H51" s="156"/>
      <c r="I51" s="156"/>
      <c r="J51" s="162"/>
      <c r="K51" s="270"/>
    </row>
    <row r="52" spans="1:11" s="145" customFormat="1" ht="30" customHeight="1" hidden="1" outlineLevel="1">
      <c r="A52" s="271">
        <v>4</v>
      </c>
      <c r="B52" s="155" t="s">
        <v>166</v>
      </c>
      <c r="C52" s="156"/>
      <c r="D52" s="156"/>
      <c r="E52" s="156"/>
      <c r="F52" s="156"/>
      <c r="G52" s="156"/>
      <c r="H52" s="156"/>
      <c r="I52" s="156"/>
      <c r="J52" s="162"/>
      <c r="K52" s="270"/>
    </row>
    <row r="53" spans="1:11" s="287" customFormat="1" ht="29.25" customHeight="1" hidden="1" outlineLevel="1">
      <c r="A53" s="271">
        <v>5</v>
      </c>
      <c r="B53" s="155" t="s">
        <v>360</v>
      </c>
      <c r="C53" s="160" t="s">
        <v>231</v>
      </c>
      <c r="D53" s="160" t="s">
        <v>291</v>
      </c>
      <c r="E53" s="160" t="s">
        <v>291</v>
      </c>
      <c r="F53" s="156"/>
      <c r="G53" s="160" t="s">
        <v>291</v>
      </c>
      <c r="H53" s="160" t="s">
        <v>291</v>
      </c>
      <c r="I53" s="156"/>
      <c r="J53" s="160" t="s">
        <v>291</v>
      </c>
      <c r="K53" s="286"/>
    </row>
    <row r="54" spans="1:11" s="287" customFormat="1" ht="27.75" customHeight="1" hidden="1" outlineLevel="1">
      <c r="A54" s="271">
        <v>6</v>
      </c>
      <c r="B54" s="155" t="s">
        <v>359</v>
      </c>
      <c r="C54" s="160" t="s">
        <v>231</v>
      </c>
      <c r="D54" s="160" t="s">
        <v>291</v>
      </c>
      <c r="E54" s="160" t="s">
        <v>291</v>
      </c>
      <c r="F54" s="156"/>
      <c r="G54" s="160" t="s">
        <v>291</v>
      </c>
      <c r="H54" s="160" t="s">
        <v>291</v>
      </c>
      <c r="I54" s="156"/>
      <c r="J54" s="160" t="s">
        <v>291</v>
      </c>
      <c r="K54" s="286"/>
    </row>
    <row r="55" spans="1:11" s="145" customFormat="1" ht="19.5" customHeight="1" hidden="1" outlineLevel="1">
      <c r="A55" s="271" t="s">
        <v>300</v>
      </c>
      <c r="B55" s="155" t="s">
        <v>297</v>
      </c>
      <c r="C55" s="161"/>
      <c r="D55" s="157"/>
      <c r="E55" s="158"/>
      <c r="F55" s="158"/>
      <c r="G55" s="157"/>
      <c r="H55" s="158"/>
      <c r="I55" s="158"/>
      <c r="J55" s="158"/>
      <c r="K55" s="270"/>
    </row>
    <row r="56" spans="1:11" s="144" customFormat="1" ht="24.75" customHeight="1" collapsed="1">
      <c r="A56" s="353" t="s">
        <v>248</v>
      </c>
      <c r="B56" s="354"/>
      <c r="C56" s="354"/>
      <c r="D56" s="354"/>
      <c r="E56" s="354"/>
      <c r="F56" s="354"/>
      <c r="G56" s="354"/>
      <c r="H56" s="354"/>
      <c r="I56" s="354"/>
      <c r="J56" s="355"/>
      <c r="K56" s="278"/>
    </row>
    <row r="57" spans="1:11" s="145" customFormat="1" ht="41.25" customHeight="1" hidden="1" outlineLevel="1">
      <c r="A57" s="271">
        <v>1</v>
      </c>
      <c r="B57" s="155" t="s">
        <v>46</v>
      </c>
      <c r="C57" s="155"/>
      <c r="D57" s="169"/>
      <c r="E57" s="170"/>
      <c r="F57" s="170"/>
      <c r="G57" s="169"/>
      <c r="H57" s="170"/>
      <c r="I57" s="170"/>
      <c r="J57" s="170"/>
      <c r="K57" s="270"/>
    </row>
    <row r="58" spans="1:11" s="145" customFormat="1" ht="41.25" customHeight="1" hidden="1" outlineLevel="1">
      <c r="A58" s="271">
        <v>2</v>
      </c>
      <c r="B58" s="155" t="s">
        <v>409</v>
      </c>
      <c r="C58" s="155"/>
      <c r="D58" s="169"/>
      <c r="E58" s="170"/>
      <c r="F58" s="170"/>
      <c r="G58" s="169"/>
      <c r="H58" s="170"/>
      <c r="I58" s="170"/>
      <c r="J58" s="170"/>
      <c r="K58" s="270"/>
    </row>
    <row r="59" spans="1:11" s="145" customFormat="1" ht="41.25" customHeight="1" hidden="1" outlineLevel="1">
      <c r="A59" s="271">
        <v>3</v>
      </c>
      <c r="B59" s="163" t="s">
        <v>292</v>
      </c>
      <c r="C59" s="271"/>
      <c r="D59" s="160" t="s">
        <v>291</v>
      </c>
      <c r="E59" s="160" t="s">
        <v>291</v>
      </c>
      <c r="F59" s="156"/>
      <c r="G59" s="160" t="s">
        <v>291</v>
      </c>
      <c r="H59" s="160" t="s">
        <v>291</v>
      </c>
      <c r="I59" s="156"/>
      <c r="J59" s="160"/>
      <c r="K59" s="270"/>
    </row>
    <row r="60" spans="1:11" s="145" customFormat="1" ht="19.5" customHeight="1" hidden="1" outlineLevel="1">
      <c r="A60" s="271" t="s">
        <v>300</v>
      </c>
      <c r="B60" s="155" t="s">
        <v>297</v>
      </c>
      <c r="C60" s="161"/>
      <c r="D60" s="157"/>
      <c r="E60" s="158"/>
      <c r="F60" s="158"/>
      <c r="G60" s="157"/>
      <c r="H60" s="158"/>
      <c r="I60" s="158"/>
      <c r="J60" s="158"/>
      <c r="K60" s="270"/>
    </row>
    <row r="61" spans="1:11" s="144" customFormat="1" ht="24.75" customHeight="1" collapsed="1">
      <c r="A61" s="353" t="s">
        <v>249</v>
      </c>
      <c r="B61" s="354"/>
      <c r="C61" s="354"/>
      <c r="D61" s="354"/>
      <c r="E61" s="354"/>
      <c r="F61" s="354"/>
      <c r="G61" s="354"/>
      <c r="H61" s="354"/>
      <c r="I61" s="354"/>
      <c r="J61" s="355"/>
      <c r="K61" s="278"/>
    </row>
    <row r="62" spans="1:11" s="145" customFormat="1" ht="30" customHeight="1" hidden="1" outlineLevel="1">
      <c r="A62" s="271">
        <v>1</v>
      </c>
      <c r="B62" s="163" t="s">
        <v>196</v>
      </c>
      <c r="C62" s="156"/>
      <c r="D62" s="162" t="s">
        <v>291</v>
      </c>
      <c r="E62" s="162" t="s">
        <v>291</v>
      </c>
      <c r="F62" s="158"/>
      <c r="G62" s="162" t="s">
        <v>291</v>
      </c>
      <c r="H62" s="162" t="s">
        <v>291</v>
      </c>
      <c r="I62" s="158"/>
      <c r="J62" s="158"/>
      <c r="K62" s="270"/>
    </row>
    <row r="63" spans="1:11" s="145" customFormat="1" ht="30" customHeight="1" hidden="1" outlineLevel="1">
      <c r="A63" s="271">
        <v>2</v>
      </c>
      <c r="B63" s="155" t="s">
        <v>361</v>
      </c>
      <c r="C63" s="160" t="s">
        <v>231</v>
      </c>
      <c r="D63" s="162" t="s">
        <v>291</v>
      </c>
      <c r="E63" s="162" t="s">
        <v>291</v>
      </c>
      <c r="F63" s="158"/>
      <c r="G63" s="162" t="s">
        <v>291</v>
      </c>
      <c r="H63" s="162" t="s">
        <v>291</v>
      </c>
      <c r="I63" s="158"/>
      <c r="J63" s="162" t="s">
        <v>291</v>
      </c>
      <c r="K63" s="270"/>
    </row>
    <row r="64" spans="1:11" s="145" customFormat="1" ht="30" customHeight="1" hidden="1" outlineLevel="1">
      <c r="A64" s="271">
        <v>3</v>
      </c>
      <c r="B64" s="163" t="s">
        <v>197</v>
      </c>
      <c r="C64" s="156"/>
      <c r="D64" s="156"/>
      <c r="E64" s="156"/>
      <c r="F64" s="156"/>
      <c r="G64" s="156"/>
      <c r="H64" s="156"/>
      <c r="I64" s="156"/>
      <c r="J64" s="156"/>
      <c r="K64" s="270"/>
    </row>
    <row r="65" spans="1:11" s="145" customFormat="1" ht="30" customHeight="1" hidden="1" outlineLevel="1">
      <c r="A65" s="356">
        <v>4</v>
      </c>
      <c r="B65" s="163" t="s">
        <v>198</v>
      </c>
      <c r="C65" s="156"/>
      <c r="D65" s="156"/>
      <c r="E65" s="156"/>
      <c r="F65" s="156"/>
      <c r="G65" s="156"/>
      <c r="H65" s="156"/>
      <c r="I65" s="156"/>
      <c r="J65" s="156"/>
      <c r="K65" s="270"/>
    </row>
    <row r="66" spans="1:11" s="145" customFormat="1" ht="19.5" customHeight="1" hidden="1" outlineLevel="1">
      <c r="A66" s="356"/>
      <c r="B66" s="167" t="s">
        <v>390</v>
      </c>
      <c r="C66" s="156"/>
      <c r="D66" s="156"/>
      <c r="E66" s="156"/>
      <c r="F66" s="156"/>
      <c r="G66" s="156"/>
      <c r="H66" s="156"/>
      <c r="I66" s="156"/>
      <c r="J66" s="156"/>
      <c r="K66" s="270"/>
    </row>
    <row r="67" spans="1:11" s="145" customFormat="1" ht="19.5" customHeight="1" hidden="1" outlineLevel="1">
      <c r="A67" s="356"/>
      <c r="B67" s="167" t="s">
        <v>391</v>
      </c>
      <c r="C67" s="156"/>
      <c r="D67" s="156"/>
      <c r="E67" s="156"/>
      <c r="F67" s="156"/>
      <c r="G67" s="156"/>
      <c r="H67" s="156"/>
      <c r="I67" s="156"/>
      <c r="J67" s="156"/>
      <c r="K67" s="270"/>
    </row>
    <row r="68" spans="1:11" s="145" customFormat="1" ht="19.5" customHeight="1" hidden="1" outlineLevel="1">
      <c r="A68" s="356"/>
      <c r="B68" s="171" t="s">
        <v>392</v>
      </c>
      <c r="C68" s="156"/>
      <c r="D68" s="156"/>
      <c r="E68" s="156"/>
      <c r="F68" s="156"/>
      <c r="G68" s="156"/>
      <c r="H68" s="156"/>
      <c r="I68" s="156"/>
      <c r="J68" s="156"/>
      <c r="K68" s="270"/>
    </row>
    <row r="69" spans="1:11" s="145" customFormat="1" ht="42" customHeight="1" hidden="1" outlineLevel="1">
      <c r="A69" s="271">
        <v>5</v>
      </c>
      <c r="B69" s="163" t="s">
        <v>199</v>
      </c>
      <c r="C69" s="156"/>
      <c r="D69" s="156"/>
      <c r="E69" s="156"/>
      <c r="F69" s="156"/>
      <c r="G69" s="156"/>
      <c r="H69" s="156"/>
      <c r="I69" s="156"/>
      <c r="J69" s="156"/>
      <c r="K69" s="270"/>
    </row>
    <row r="70" spans="1:11" s="145" customFormat="1" ht="39" customHeight="1" hidden="1" outlineLevel="1">
      <c r="A70" s="271">
        <v>6</v>
      </c>
      <c r="B70" s="163" t="s">
        <v>200</v>
      </c>
      <c r="C70" s="160" t="s">
        <v>231</v>
      </c>
      <c r="D70" s="162" t="s">
        <v>291</v>
      </c>
      <c r="E70" s="162" t="s">
        <v>291</v>
      </c>
      <c r="F70" s="158"/>
      <c r="G70" s="162" t="s">
        <v>291</v>
      </c>
      <c r="H70" s="162" t="s">
        <v>291</v>
      </c>
      <c r="I70" s="158"/>
      <c r="J70" s="162" t="s">
        <v>291</v>
      </c>
      <c r="K70" s="270"/>
    </row>
    <row r="71" spans="1:11" s="145" customFormat="1" ht="30" customHeight="1" hidden="1" outlineLevel="1">
      <c r="A71" s="271">
        <v>7</v>
      </c>
      <c r="B71" s="163" t="s">
        <v>410</v>
      </c>
      <c r="C71" s="166"/>
      <c r="D71" s="162" t="s">
        <v>291</v>
      </c>
      <c r="E71" s="162" t="s">
        <v>291</v>
      </c>
      <c r="F71" s="158"/>
      <c r="G71" s="162" t="s">
        <v>291</v>
      </c>
      <c r="H71" s="162" t="s">
        <v>291</v>
      </c>
      <c r="I71" s="158"/>
      <c r="J71" s="158"/>
      <c r="K71" s="270"/>
    </row>
    <row r="72" spans="1:11" s="145" customFormat="1" ht="23.25" customHeight="1" hidden="1" outlineLevel="1">
      <c r="A72" s="271" t="s">
        <v>300</v>
      </c>
      <c r="B72" s="155" t="s">
        <v>297</v>
      </c>
      <c r="C72" s="161"/>
      <c r="D72" s="157"/>
      <c r="E72" s="158"/>
      <c r="F72" s="158"/>
      <c r="G72" s="157"/>
      <c r="H72" s="158"/>
      <c r="I72" s="158"/>
      <c r="J72" s="158"/>
      <c r="K72" s="270"/>
    </row>
    <row r="73" spans="1:11" s="145" customFormat="1" ht="24.75" customHeight="1" collapsed="1">
      <c r="A73" s="357" t="s">
        <v>340</v>
      </c>
      <c r="B73" s="358"/>
      <c r="C73" s="358"/>
      <c r="D73" s="358"/>
      <c r="E73" s="358"/>
      <c r="F73" s="358"/>
      <c r="G73" s="358"/>
      <c r="H73" s="358"/>
      <c r="I73" s="358"/>
      <c r="J73" s="359"/>
      <c r="K73" s="270"/>
    </row>
    <row r="74" spans="1:11" s="144" customFormat="1" ht="24.75" customHeight="1">
      <c r="A74" s="353" t="s">
        <v>250</v>
      </c>
      <c r="B74" s="354"/>
      <c r="C74" s="354"/>
      <c r="D74" s="354"/>
      <c r="E74" s="354"/>
      <c r="F74" s="354"/>
      <c r="G74" s="354"/>
      <c r="H74" s="354"/>
      <c r="I74" s="354"/>
      <c r="J74" s="355"/>
      <c r="K74" s="278"/>
    </row>
    <row r="75" spans="1:11" s="144" customFormat="1" ht="24.75" customHeight="1" hidden="1" outlineLevel="1">
      <c r="A75" s="272">
        <v>1</v>
      </c>
      <c r="B75" s="163" t="s">
        <v>47</v>
      </c>
      <c r="C75" s="160"/>
      <c r="D75" s="160" t="s">
        <v>291</v>
      </c>
      <c r="E75" s="160" t="s">
        <v>291</v>
      </c>
      <c r="F75" s="162"/>
      <c r="G75" s="160" t="s">
        <v>291</v>
      </c>
      <c r="H75" s="160" t="s">
        <v>291</v>
      </c>
      <c r="I75" s="162"/>
      <c r="J75" s="162"/>
      <c r="K75" s="278"/>
    </row>
    <row r="76" spans="1:11" s="145" customFormat="1" ht="30" customHeight="1" hidden="1" outlineLevel="1">
      <c r="A76" s="272">
        <v>2</v>
      </c>
      <c r="B76" s="163" t="s">
        <v>227</v>
      </c>
      <c r="C76" s="156"/>
      <c r="D76" s="162"/>
      <c r="E76" s="162"/>
      <c r="F76" s="158"/>
      <c r="G76" s="162"/>
      <c r="H76" s="162"/>
      <c r="I76" s="158"/>
      <c r="J76" s="162"/>
      <c r="K76" s="270"/>
    </row>
    <row r="77" spans="1:11" s="145" customFormat="1" ht="19.5" customHeight="1" hidden="1" outlineLevel="1">
      <c r="A77" s="271" t="s">
        <v>300</v>
      </c>
      <c r="B77" s="155" t="s">
        <v>297</v>
      </c>
      <c r="C77" s="161"/>
      <c r="D77" s="157"/>
      <c r="E77" s="158"/>
      <c r="F77" s="158"/>
      <c r="G77" s="157"/>
      <c r="H77" s="158"/>
      <c r="I77" s="158"/>
      <c r="J77" s="158"/>
      <c r="K77" s="270"/>
    </row>
    <row r="78" spans="1:11" s="144" customFormat="1" ht="24.75" customHeight="1" collapsed="1">
      <c r="A78" s="353" t="s">
        <v>251</v>
      </c>
      <c r="B78" s="354"/>
      <c r="C78" s="354"/>
      <c r="D78" s="354"/>
      <c r="E78" s="354"/>
      <c r="F78" s="354"/>
      <c r="G78" s="354"/>
      <c r="H78" s="354"/>
      <c r="I78" s="354"/>
      <c r="J78" s="355"/>
      <c r="K78" s="278"/>
    </row>
    <row r="79" spans="1:11" s="145" customFormat="1" ht="30" customHeight="1" hidden="1" outlineLevel="1">
      <c r="A79" s="272">
        <v>1</v>
      </c>
      <c r="B79" s="155" t="s">
        <v>362</v>
      </c>
      <c r="C79" s="156"/>
      <c r="D79" s="162" t="s">
        <v>291</v>
      </c>
      <c r="E79" s="162" t="s">
        <v>291</v>
      </c>
      <c r="F79" s="158"/>
      <c r="G79" s="162" t="s">
        <v>291</v>
      </c>
      <c r="H79" s="162" t="s">
        <v>291</v>
      </c>
      <c r="I79" s="158"/>
      <c r="J79" s="162"/>
      <c r="K79" s="270"/>
    </row>
    <row r="80" spans="1:11" s="145" customFormat="1" ht="19.5" customHeight="1" hidden="1" outlineLevel="1">
      <c r="A80" s="271" t="s">
        <v>300</v>
      </c>
      <c r="B80" s="155" t="s">
        <v>297</v>
      </c>
      <c r="C80" s="161"/>
      <c r="D80" s="157"/>
      <c r="E80" s="158"/>
      <c r="F80" s="158"/>
      <c r="G80" s="157"/>
      <c r="H80" s="158"/>
      <c r="I80" s="158"/>
      <c r="J80" s="158"/>
      <c r="K80" s="270"/>
    </row>
    <row r="81" spans="1:11" s="144" customFormat="1" ht="24.75" customHeight="1" collapsed="1">
      <c r="A81" s="353" t="s">
        <v>252</v>
      </c>
      <c r="B81" s="354"/>
      <c r="C81" s="354"/>
      <c r="D81" s="354"/>
      <c r="E81" s="354"/>
      <c r="F81" s="354"/>
      <c r="G81" s="354"/>
      <c r="H81" s="354"/>
      <c r="I81" s="354"/>
      <c r="J81" s="355"/>
      <c r="K81" s="278"/>
    </row>
    <row r="82" spans="1:11" s="145" customFormat="1" ht="45" customHeight="1" hidden="1" outlineLevel="1">
      <c r="A82" s="272">
        <v>1</v>
      </c>
      <c r="B82" s="155" t="s">
        <v>363</v>
      </c>
      <c r="C82" s="156"/>
      <c r="D82" s="162" t="s">
        <v>291</v>
      </c>
      <c r="E82" s="162" t="s">
        <v>291</v>
      </c>
      <c r="F82" s="158"/>
      <c r="G82" s="162" t="s">
        <v>291</v>
      </c>
      <c r="H82" s="162" t="s">
        <v>291</v>
      </c>
      <c r="I82" s="172"/>
      <c r="J82" s="162"/>
      <c r="K82" s="270"/>
    </row>
    <row r="83" spans="1:11" s="145" customFormat="1" ht="30" customHeight="1" hidden="1" outlineLevel="1">
      <c r="A83" s="272">
        <v>2</v>
      </c>
      <c r="B83" s="163" t="s">
        <v>201</v>
      </c>
      <c r="C83" s="156"/>
      <c r="D83" s="162" t="s">
        <v>291</v>
      </c>
      <c r="E83" s="162" t="s">
        <v>291</v>
      </c>
      <c r="F83" s="158"/>
      <c r="G83" s="162" t="s">
        <v>291</v>
      </c>
      <c r="H83" s="162" t="s">
        <v>291</v>
      </c>
      <c r="I83" s="172"/>
      <c r="J83" s="162"/>
      <c r="K83" s="270"/>
    </row>
    <row r="84" spans="1:11" s="145" customFormat="1" ht="45" customHeight="1" hidden="1" outlineLevel="1">
      <c r="A84" s="272">
        <v>3</v>
      </c>
      <c r="B84" s="155" t="s">
        <v>366</v>
      </c>
      <c r="C84" s="156"/>
      <c r="D84" s="162" t="s">
        <v>291</v>
      </c>
      <c r="E84" s="162" t="s">
        <v>291</v>
      </c>
      <c r="F84" s="158"/>
      <c r="G84" s="162" t="s">
        <v>291</v>
      </c>
      <c r="H84" s="162" t="s">
        <v>291</v>
      </c>
      <c r="I84" s="172"/>
      <c r="J84" s="162"/>
      <c r="K84" s="270"/>
    </row>
    <row r="85" spans="1:11" s="145" customFormat="1" ht="39" customHeight="1" hidden="1" outlineLevel="1">
      <c r="A85" s="272">
        <v>4</v>
      </c>
      <c r="B85" s="155" t="s">
        <v>367</v>
      </c>
      <c r="C85" s="156"/>
      <c r="D85" s="162" t="s">
        <v>291</v>
      </c>
      <c r="E85" s="162" t="s">
        <v>291</v>
      </c>
      <c r="F85" s="158"/>
      <c r="G85" s="162" t="s">
        <v>291</v>
      </c>
      <c r="H85" s="162" t="s">
        <v>291</v>
      </c>
      <c r="I85" s="172"/>
      <c r="J85" s="162"/>
      <c r="K85" s="270"/>
    </row>
    <row r="86" spans="1:11" s="145" customFormat="1" ht="19.5" customHeight="1" hidden="1" outlineLevel="1">
      <c r="A86" s="271" t="s">
        <v>300</v>
      </c>
      <c r="B86" s="155" t="s">
        <v>297</v>
      </c>
      <c r="C86" s="161"/>
      <c r="D86" s="157"/>
      <c r="E86" s="158"/>
      <c r="F86" s="158"/>
      <c r="G86" s="157"/>
      <c r="H86" s="158"/>
      <c r="I86" s="158"/>
      <c r="J86" s="158"/>
      <c r="K86" s="270"/>
    </row>
    <row r="87" spans="1:11" s="144" customFormat="1" ht="24.75" customHeight="1" collapsed="1">
      <c r="A87" s="353" t="s">
        <v>253</v>
      </c>
      <c r="B87" s="354"/>
      <c r="C87" s="354"/>
      <c r="D87" s="354"/>
      <c r="E87" s="354"/>
      <c r="F87" s="354"/>
      <c r="G87" s="354"/>
      <c r="H87" s="354"/>
      <c r="I87" s="354"/>
      <c r="J87" s="355"/>
      <c r="K87" s="278"/>
    </row>
    <row r="88" spans="1:11" s="145" customFormat="1" ht="45" customHeight="1" hidden="1" outlineLevel="1">
      <c r="A88" s="272">
        <v>1</v>
      </c>
      <c r="B88" s="163" t="s">
        <v>203</v>
      </c>
      <c r="C88" s="156"/>
      <c r="D88" s="156"/>
      <c r="E88" s="156"/>
      <c r="F88" s="156"/>
      <c r="G88" s="156"/>
      <c r="H88" s="156"/>
      <c r="I88" s="156"/>
      <c r="J88" s="162"/>
      <c r="K88" s="270"/>
    </row>
    <row r="89" spans="1:11" s="145" customFormat="1" ht="25.5" customHeight="1" hidden="1" outlineLevel="1">
      <c r="A89" s="173">
        <v>2</v>
      </c>
      <c r="B89" s="163" t="s">
        <v>37</v>
      </c>
      <c r="C89" s="190" t="s">
        <v>231</v>
      </c>
      <c r="D89" s="166"/>
      <c r="E89" s="166"/>
      <c r="F89" s="166"/>
      <c r="G89" s="166"/>
      <c r="H89" s="166"/>
      <c r="I89" s="166"/>
      <c r="J89" s="174" t="s">
        <v>291</v>
      </c>
      <c r="K89" s="270"/>
    </row>
    <row r="90" spans="1:11" s="145" customFormat="1" ht="24.75" customHeight="1" hidden="1" outlineLevel="1">
      <c r="A90" s="272">
        <v>3</v>
      </c>
      <c r="B90" s="170" t="s">
        <v>136</v>
      </c>
      <c r="C90" s="156"/>
      <c r="D90" s="162" t="s">
        <v>291</v>
      </c>
      <c r="E90" s="162" t="s">
        <v>291</v>
      </c>
      <c r="F90" s="156"/>
      <c r="G90" s="162" t="s">
        <v>291</v>
      </c>
      <c r="H90" s="162" t="s">
        <v>291</v>
      </c>
      <c r="I90" s="156"/>
      <c r="J90" s="162"/>
      <c r="K90" s="270"/>
    </row>
    <row r="91" spans="1:11" s="145" customFormat="1" ht="24.75" customHeight="1" hidden="1" outlineLevel="1">
      <c r="A91" s="271" t="s">
        <v>300</v>
      </c>
      <c r="B91" s="155" t="s">
        <v>297</v>
      </c>
      <c r="C91" s="161"/>
      <c r="D91" s="157"/>
      <c r="E91" s="158"/>
      <c r="F91" s="158"/>
      <c r="G91" s="157"/>
      <c r="H91" s="158"/>
      <c r="I91" s="158"/>
      <c r="J91" s="158"/>
      <c r="K91" s="270"/>
    </row>
    <row r="92" spans="1:11" s="145" customFormat="1" ht="24.75" customHeight="1" collapsed="1">
      <c r="A92" s="353" t="s">
        <v>137</v>
      </c>
      <c r="B92" s="354"/>
      <c r="C92" s="354"/>
      <c r="D92" s="354"/>
      <c r="E92" s="354"/>
      <c r="F92" s="354"/>
      <c r="G92" s="354"/>
      <c r="H92" s="354"/>
      <c r="I92" s="354"/>
      <c r="J92" s="355"/>
      <c r="K92" s="270"/>
    </row>
    <row r="93" spans="1:11" s="145" customFormat="1" ht="30.75" customHeight="1" hidden="1" outlineLevel="1">
      <c r="A93" s="360">
        <v>1</v>
      </c>
      <c r="B93" s="163" t="s">
        <v>138</v>
      </c>
      <c r="C93" s="160"/>
      <c r="D93" s="160" t="s">
        <v>291</v>
      </c>
      <c r="E93" s="160" t="s">
        <v>291</v>
      </c>
      <c r="F93" s="162"/>
      <c r="G93" s="160" t="s">
        <v>291</v>
      </c>
      <c r="H93" s="160" t="s">
        <v>291</v>
      </c>
      <c r="I93" s="162"/>
      <c r="J93" s="162"/>
      <c r="K93" s="270"/>
    </row>
    <row r="94" spans="1:11" s="145" customFormat="1" ht="24.75" customHeight="1" hidden="1" outlineLevel="1">
      <c r="A94" s="361"/>
      <c r="B94" s="163" t="s">
        <v>139</v>
      </c>
      <c r="C94" s="160"/>
      <c r="D94" s="160" t="s">
        <v>291</v>
      </c>
      <c r="E94" s="160" t="s">
        <v>291</v>
      </c>
      <c r="F94" s="162"/>
      <c r="G94" s="160" t="s">
        <v>291</v>
      </c>
      <c r="H94" s="160" t="s">
        <v>291</v>
      </c>
      <c r="I94" s="162"/>
      <c r="J94" s="162"/>
      <c r="K94" s="270"/>
    </row>
    <row r="95" spans="1:11" s="145" customFormat="1" ht="24.75" customHeight="1" hidden="1" outlineLevel="1">
      <c r="A95" s="362"/>
      <c r="B95" s="163" t="s">
        <v>140</v>
      </c>
      <c r="C95" s="160"/>
      <c r="D95" s="160" t="s">
        <v>291</v>
      </c>
      <c r="E95" s="160" t="s">
        <v>291</v>
      </c>
      <c r="F95" s="162"/>
      <c r="G95" s="160" t="s">
        <v>291</v>
      </c>
      <c r="H95" s="160" t="s">
        <v>291</v>
      </c>
      <c r="I95" s="162"/>
      <c r="J95" s="162"/>
      <c r="K95" s="270"/>
    </row>
    <row r="96" spans="1:11" s="145" customFormat="1" ht="24.75" customHeight="1" hidden="1" outlineLevel="1">
      <c r="A96" s="271" t="s">
        <v>300</v>
      </c>
      <c r="B96" s="155" t="s">
        <v>297</v>
      </c>
      <c r="C96" s="161"/>
      <c r="D96" s="157"/>
      <c r="E96" s="158"/>
      <c r="F96" s="158"/>
      <c r="G96" s="157"/>
      <c r="H96" s="158"/>
      <c r="I96" s="158"/>
      <c r="J96" s="158"/>
      <c r="K96" s="270"/>
    </row>
    <row r="97" spans="1:11" s="145" customFormat="1" ht="24.75" customHeight="1" collapsed="1">
      <c r="A97" s="353" t="s">
        <v>341</v>
      </c>
      <c r="B97" s="354"/>
      <c r="C97" s="354"/>
      <c r="D97" s="354"/>
      <c r="E97" s="354"/>
      <c r="F97" s="354"/>
      <c r="G97" s="354"/>
      <c r="H97" s="354"/>
      <c r="I97" s="354"/>
      <c r="J97" s="355"/>
      <c r="K97" s="270"/>
    </row>
    <row r="98" spans="1:11" s="144" customFormat="1" ht="24.75" customHeight="1">
      <c r="A98" s="353" t="s">
        <v>254</v>
      </c>
      <c r="B98" s="354"/>
      <c r="C98" s="354"/>
      <c r="D98" s="354"/>
      <c r="E98" s="354"/>
      <c r="F98" s="354"/>
      <c r="G98" s="354"/>
      <c r="H98" s="354"/>
      <c r="I98" s="354"/>
      <c r="J98" s="355"/>
      <c r="K98" s="278"/>
    </row>
    <row r="99" spans="1:11" s="145" customFormat="1" ht="25.5" customHeight="1" hidden="1" outlineLevel="1">
      <c r="A99" s="272">
        <v>1</v>
      </c>
      <c r="B99" s="163" t="s">
        <v>342</v>
      </c>
      <c r="C99" s="156"/>
      <c r="D99" s="162" t="s">
        <v>291</v>
      </c>
      <c r="E99" s="162" t="s">
        <v>291</v>
      </c>
      <c r="F99" s="158"/>
      <c r="G99" s="162" t="s">
        <v>291</v>
      </c>
      <c r="H99" s="162" t="s">
        <v>291</v>
      </c>
      <c r="I99" s="158"/>
      <c r="J99" s="162"/>
      <c r="K99" s="270"/>
    </row>
    <row r="100" spans="1:11" s="145" customFormat="1" ht="19.5" customHeight="1" hidden="1" outlineLevel="1">
      <c r="A100" s="272">
        <v>2</v>
      </c>
      <c r="B100" s="155" t="s">
        <v>343</v>
      </c>
      <c r="C100" s="160" t="s">
        <v>231</v>
      </c>
      <c r="D100" s="162" t="s">
        <v>291</v>
      </c>
      <c r="E100" s="162" t="s">
        <v>291</v>
      </c>
      <c r="F100" s="158"/>
      <c r="G100" s="162" t="s">
        <v>291</v>
      </c>
      <c r="H100" s="162" t="s">
        <v>291</v>
      </c>
      <c r="I100" s="158"/>
      <c r="J100" s="162" t="s">
        <v>291</v>
      </c>
      <c r="K100" s="270"/>
    </row>
    <row r="101" spans="1:11" s="145" customFormat="1" ht="30" customHeight="1" hidden="1" outlineLevel="1">
      <c r="A101" s="272">
        <v>3</v>
      </c>
      <c r="B101" s="163" t="s">
        <v>255</v>
      </c>
      <c r="C101" s="156"/>
      <c r="D101" s="156"/>
      <c r="E101" s="156"/>
      <c r="F101" s="158"/>
      <c r="G101" s="156"/>
      <c r="H101" s="156"/>
      <c r="I101" s="158"/>
      <c r="J101" s="162"/>
      <c r="K101" s="270"/>
    </row>
    <row r="102" spans="1:11" s="289" customFormat="1" ht="24.75" customHeight="1" hidden="1" outlineLevel="1">
      <c r="A102" s="173">
        <v>4</v>
      </c>
      <c r="B102" s="163" t="s">
        <v>256</v>
      </c>
      <c r="C102" s="156"/>
      <c r="D102" s="156"/>
      <c r="E102" s="156"/>
      <c r="F102" s="158"/>
      <c r="G102" s="156"/>
      <c r="H102" s="156"/>
      <c r="I102" s="158"/>
      <c r="J102" s="174"/>
      <c r="K102" s="288"/>
    </row>
    <row r="103" spans="1:11" s="145" customFormat="1" ht="28.5" customHeight="1" hidden="1" outlineLevel="1">
      <c r="A103" s="363">
        <v>5</v>
      </c>
      <c r="B103" s="163" t="s">
        <v>204</v>
      </c>
      <c r="C103" s="156"/>
      <c r="D103" s="162" t="s">
        <v>291</v>
      </c>
      <c r="E103" s="162" t="s">
        <v>291</v>
      </c>
      <c r="F103" s="158"/>
      <c r="G103" s="162" t="s">
        <v>291</v>
      </c>
      <c r="H103" s="162" t="s">
        <v>291</v>
      </c>
      <c r="I103" s="158"/>
      <c r="J103" s="162"/>
      <c r="K103" s="270"/>
    </row>
    <row r="104" spans="1:11" s="145" customFormat="1" ht="24.75" customHeight="1" hidden="1" outlineLevel="1">
      <c r="A104" s="363"/>
      <c r="B104" s="164" t="s">
        <v>393</v>
      </c>
      <c r="C104" s="156"/>
      <c r="D104" s="162" t="s">
        <v>291</v>
      </c>
      <c r="E104" s="162" t="s">
        <v>291</v>
      </c>
      <c r="F104" s="158"/>
      <c r="G104" s="162" t="s">
        <v>291</v>
      </c>
      <c r="H104" s="162" t="s">
        <v>291</v>
      </c>
      <c r="I104" s="158"/>
      <c r="J104" s="162"/>
      <c r="K104" s="270"/>
    </row>
    <row r="105" spans="1:11" s="145" customFormat="1" ht="24.75" customHeight="1" hidden="1" outlineLevel="1">
      <c r="A105" s="363"/>
      <c r="B105" s="164" t="s">
        <v>394</v>
      </c>
      <c r="C105" s="156"/>
      <c r="D105" s="162" t="s">
        <v>291</v>
      </c>
      <c r="E105" s="162" t="s">
        <v>291</v>
      </c>
      <c r="F105" s="158"/>
      <c r="G105" s="162" t="s">
        <v>291</v>
      </c>
      <c r="H105" s="162" t="s">
        <v>291</v>
      </c>
      <c r="I105" s="158"/>
      <c r="J105" s="162"/>
      <c r="K105" s="270"/>
    </row>
    <row r="106" spans="1:11" s="145" customFormat="1" ht="30" customHeight="1" hidden="1" outlineLevel="1">
      <c r="A106" s="272">
        <v>6</v>
      </c>
      <c r="B106" s="155" t="s">
        <v>368</v>
      </c>
      <c r="C106" s="156"/>
      <c r="D106" s="162" t="s">
        <v>291</v>
      </c>
      <c r="E106" s="162" t="s">
        <v>291</v>
      </c>
      <c r="F106" s="158"/>
      <c r="G106" s="162" t="s">
        <v>291</v>
      </c>
      <c r="H106" s="162" t="s">
        <v>291</v>
      </c>
      <c r="I106" s="158"/>
      <c r="J106" s="162"/>
      <c r="K106" s="270"/>
    </row>
    <row r="107" spans="1:11" s="145" customFormat="1" ht="30" customHeight="1" hidden="1" outlineLevel="1">
      <c r="A107" s="272">
        <v>7</v>
      </c>
      <c r="B107" s="155" t="s">
        <v>344</v>
      </c>
      <c r="C107" s="156"/>
      <c r="D107" s="156"/>
      <c r="E107" s="156"/>
      <c r="F107" s="156"/>
      <c r="G107" s="156"/>
      <c r="H107" s="156"/>
      <c r="I107" s="156"/>
      <c r="J107" s="162"/>
      <c r="K107" s="270"/>
    </row>
    <row r="108" spans="1:11" s="145" customFormat="1" ht="39" customHeight="1" hidden="1" outlineLevel="1">
      <c r="A108" s="272">
        <v>8</v>
      </c>
      <c r="B108" s="155" t="s">
        <v>345</v>
      </c>
      <c r="C108" s="156"/>
      <c r="D108" s="156"/>
      <c r="E108" s="156"/>
      <c r="F108" s="156"/>
      <c r="G108" s="156"/>
      <c r="H108" s="156"/>
      <c r="I108" s="156"/>
      <c r="J108" s="162"/>
      <c r="K108" s="270"/>
    </row>
    <row r="109" spans="1:11" s="145" customFormat="1" ht="28.5" customHeight="1" hidden="1" outlineLevel="1">
      <c r="A109" s="271" t="s">
        <v>300</v>
      </c>
      <c r="B109" s="155" t="s">
        <v>297</v>
      </c>
      <c r="C109" s="161"/>
      <c r="D109" s="157"/>
      <c r="E109" s="158"/>
      <c r="F109" s="158"/>
      <c r="G109" s="157"/>
      <c r="H109" s="158"/>
      <c r="I109" s="158"/>
      <c r="J109" s="158"/>
      <c r="K109" s="270"/>
    </row>
    <row r="110" spans="1:11" s="144" customFormat="1" ht="24.75" customHeight="1" collapsed="1">
      <c r="A110" s="353" t="s">
        <v>257</v>
      </c>
      <c r="B110" s="354"/>
      <c r="C110" s="354"/>
      <c r="D110" s="354"/>
      <c r="E110" s="354"/>
      <c r="F110" s="354"/>
      <c r="G110" s="354"/>
      <c r="H110" s="354"/>
      <c r="I110" s="354"/>
      <c r="J110" s="355"/>
      <c r="K110" s="278"/>
    </row>
    <row r="111" spans="1:11" s="145" customFormat="1" ht="45" customHeight="1" hidden="1" outlineLevel="1">
      <c r="A111" s="272">
        <v>1</v>
      </c>
      <c r="B111" s="163" t="s">
        <v>205</v>
      </c>
      <c r="C111" s="156"/>
      <c r="D111" s="157"/>
      <c r="E111" s="158"/>
      <c r="F111" s="158"/>
      <c r="G111" s="157"/>
      <c r="H111" s="158"/>
      <c r="I111" s="158"/>
      <c r="J111" s="162"/>
      <c r="K111" s="270"/>
    </row>
    <row r="112" spans="1:11" s="145" customFormat="1" ht="19.5" customHeight="1" hidden="1" outlineLevel="1">
      <c r="A112" s="271" t="s">
        <v>300</v>
      </c>
      <c r="B112" s="155" t="s">
        <v>297</v>
      </c>
      <c r="C112" s="161"/>
      <c r="D112" s="157"/>
      <c r="E112" s="158"/>
      <c r="F112" s="158"/>
      <c r="G112" s="157"/>
      <c r="H112" s="158"/>
      <c r="I112" s="158"/>
      <c r="J112" s="158"/>
      <c r="K112" s="270"/>
    </row>
    <row r="113" spans="1:11" s="144" customFormat="1" ht="24.75" customHeight="1" collapsed="1">
      <c r="A113" s="353" t="s">
        <v>124</v>
      </c>
      <c r="B113" s="354"/>
      <c r="C113" s="354"/>
      <c r="D113" s="354"/>
      <c r="E113" s="354"/>
      <c r="F113" s="354"/>
      <c r="G113" s="354"/>
      <c r="H113" s="354"/>
      <c r="I113" s="354"/>
      <c r="J113" s="355"/>
      <c r="K113" s="278"/>
    </row>
    <row r="114" spans="1:11" s="145" customFormat="1" ht="25.5" customHeight="1" hidden="1" outlineLevel="1">
      <c r="A114" s="272">
        <v>1</v>
      </c>
      <c r="B114" s="163" t="s">
        <v>342</v>
      </c>
      <c r="C114" s="156"/>
      <c r="D114" s="162" t="s">
        <v>291</v>
      </c>
      <c r="E114" s="162" t="s">
        <v>291</v>
      </c>
      <c r="F114" s="158"/>
      <c r="G114" s="162" t="s">
        <v>291</v>
      </c>
      <c r="H114" s="162" t="s">
        <v>291</v>
      </c>
      <c r="I114" s="158"/>
      <c r="J114" s="162"/>
      <c r="K114" s="270"/>
    </row>
    <row r="115" spans="1:11" s="145" customFormat="1" ht="19.5" customHeight="1" hidden="1" outlineLevel="1">
      <c r="A115" s="272">
        <v>2</v>
      </c>
      <c r="B115" s="163" t="s">
        <v>343</v>
      </c>
      <c r="C115" s="160" t="s">
        <v>231</v>
      </c>
      <c r="D115" s="162" t="s">
        <v>291</v>
      </c>
      <c r="E115" s="162" t="s">
        <v>291</v>
      </c>
      <c r="F115" s="158"/>
      <c r="G115" s="162" t="s">
        <v>291</v>
      </c>
      <c r="H115" s="162" t="s">
        <v>291</v>
      </c>
      <c r="I115" s="158"/>
      <c r="J115" s="162" t="s">
        <v>291</v>
      </c>
      <c r="K115" s="270"/>
    </row>
    <row r="116" spans="1:11" s="145" customFormat="1" ht="30" customHeight="1" hidden="1" outlineLevel="1">
      <c r="A116" s="272">
        <v>3</v>
      </c>
      <c r="B116" s="163" t="s">
        <v>255</v>
      </c>
      <c r="C116" s="156"/>
      <c r="D116" s="156"/>
      <c r="E116" s="156"/>
      <c r="F116" s="158"/>
      <c r="G116" s="156"/>
      <c r="H116" s="156"/>
      <c r="I116" s="158"/>
      <c r="J116" s="162"/>
      <c r="K116" s="270"/>
    </row>
    <row r="117" spans="1:11" s="289" customFormat="1" ht="24.75" customHeight="1" hidden="1" outlineLevel="1">
      <c r="A117" s="173">
        <v>4</v>
      </c>
      <c r="B117" s="163" t="s">
        <v>256</v>
      </c>
      <c r="C117" s="156"/>
      <c r="D117" s="156"/>
      <c r="E117" s="156"/>
      <c r="F117" s="158"/>
      <c r="G117" s="156"/>
      <c r="H117" s="156"/>
      <c r="I117" s="158"/>
      <c r="J117" s="174"/>
      <c r="K117" s="288"/>
    </row>
    <row r="118" spans="1:11" s="145" customFormat="1" ht="30" customHeight="1" hidden="1" outlineLevel="1">
      <c r="A118" s="272">
        <v>5</v>
      </c>
      <c r="B118" s="163" t="s">
        <v>368</v>
      </c>
      <c r="C118" s="156"/>
      <c r="D118" s="162" t="s">
        <v>291</v>
      </c>
      <c r="E118" s="162" t="s">
        <v>291</v>
      </c>
      <c r="F118" s="158"/>
      <c r="G118" s="162" t="s">
        <v>291</v>
      </c>
      <c r="H118" s="162" t="s">
        <v>291</v>
      </c>
      <c r="I118" s="158"/>
      <c r="J118" s="162"/>
      <c r="K118" s="270"/>
    </row>
    <row r="119" spans="1:11" s="145" customFormat="1" ht="28.5" customHeight="1" hidden="1" outlineLevel="1">
      <c r="A119" s="271" t="s">
        <v>300</v>
      </c>
      <c r="B119" s="163" t="s">
        <v>297</v>
      </c>
      <c r="C119" s="161"/>
      <c r="D119" s="157"/>
      <c r="E119" s="158"/>
      <c r="F119" s="158"/>
      <c r="G119" s="157"/>
      <c r="H119" s="158"/>
      <c r="I119" s="158"/>
      <c r="J119" s="158"/>
      <c r="K119" s="270"/>
    </row>
    <row r="120" spans="1:11" s="145" customFormat="1" ht="24.75" customHeight="1" collapsed="1">
      <c r="A120" s="353" t="s">
        <v>346</v>
      </c>
      <c r="B120" s="354"/>
      <c r="C120" s="354"/>
      <c r="D120" s="354"/>
      <c r="E120" s="354"/>
      <c r="F120" s="354"/>
      <c r="G120" s="354"/>
      <c r="H120" s="354"/>
      <c r="I120" s="354"/>
      <c r="J120" s="355"/>
      <c r="K120" s="270"/>
    </row>
    <row r="121" spans="1:11" s="144" customFormat="1" ht="24.75" customHeight="1">
      <c r="A121" s="353" t="s">
        <v>258</v>
      </c>
      <c r="B121" s="354"/>
      <c r="C121" s="354"/>
      <c r="D121" s="354"/>
      <c r="E121" s="354"/>
      <c r="F121" s="354"/>
      <c r="G121" s="354"/>
      <c r="H121" s="354"/>
      <c r="I121" s="354"/>
      <c r="J121" s="355"/>
      <c r="K121" s="278"/>
    </row>
    <row r="122" spans="1:11" s="145" customFormat="1" ht="30" customHeight="1" hidden="1" outlineLevel="1">
      <c r="A122" s="360">
        <v>1</v>
      </c>
      <c r="B122" s="163" t="s">
        <v>303</v>
      </c>
      <c r="C122" s="156"/>
      <c r="D122" s="162" t="s">
        <v>291</v>
      </c>
      <c r="E122" s="162" t="s">
        <v>291</v>
      </c>
      <c r="F122" s="158"/>
      <c r="G122" s="162" t="s">
        <v>291</v>
      </c>
      <c r="H122" s="162" t="s">
        <v>291</v>
      </c>
      <c r="I122" s="158"/>
      <c r="J122" s="162"/>
      <c r="K122" s="270"/>
    </row>
    <row r="123" spans="1:11" s="145" customFormat="1" ht="19.5" customHeight="1" hidden="1" outlineLevel="1">
      <c r="A123" s="361"/>
      <c r="B123" s="167" t="s">
        <v>259</v>
      </c>
      <c r="C123" s="156"/>
      <c r="D123" s="162" t="s">
        <v>291</v>
      </c>
      <c r="E123" s="162" t="s">
        <v>291</v>
      </c>
      <c r="F123" s="158"/>
      <c r="G123" s="162" t="s">
        <v>291</v>
      </c>
      <c r="H123" s="162" t="s">
        <v>291</v>
      </c>
      <c r="I123" s="158"/>
      <c r="J123" s="162"/>
      <c r="K123" s="270"/>
    </row>
    <row r="124" spans="1:11" s="145" customFormat="1" ht="19.5" customHeight="1" hidden="1" outlineLevel="1">
      <c r="A124" s="362"/>
      <c r="B124" s="167" t="s">
        <v>260</v>
      </c>
      <c r="C124" s="156"/>
      <c r="D124" s="162" t="s">
        <v>291</v>
      </c>
      <c r="E124" s="162" t="s">
        <v>291</v>
      </c>
      <c r="F124" s="158"/>
      <c r="G124" s="162" t="s">
        <v>291</v>
      </c>
      <c r="H124" s="162" t="s">
        <v>291</v>
      </c>
      <c r="I124" s="158"/>
      <c r="J124" s="162"/>
      <c r="K124" s="270"/>
    </row>
    <row r="125" spans="1:11" s="145" customFormat="1" ht="47.25" hidden="1" outlineLevel="1">
      <c r="A125" s="272">
        <v>2</v>
      </c>
      <c r="B125" s="163" t="s">
        <v>125</v>
      </c>
      <c r="C125" s="156"/>
      <c r="D125" s="156"/>
      <c r="E125" s="156"/>
      <c r="F125" s="158"/>
      <c r="G125" s="156"/>
      <c r="H125" s="156"/>
      <c r="I125" s="158"/>
      <c r="J125" s="156"/>
      <c r="K125" s="270"/>
    </row>
    <row r="126" spans="1:11" s="145" customFormat="1" ht="47.25" hidden="1" outlineLevel="1">
      <c r="A126" s="272">
        <v>3</v>
      </c>
      <c r="B126" s="163" t="s">
        <v>126</v>
      </c>
      <c r="C126" s="156"/>
      <c r="D126" s="162" t="s">
        <v>291</v>
      </c>
      <c r="E126" s="162" t="s">
        <v>291</v>
      </c>
      <c r="F126" s="158"/>
      <c r="G126" s="162" t="s">
        <v>291</v>
      </c>
      <c r="H126" s="162" t="s">
        <v>291</v>
      </c>
      <c r="I126" s="158"/>
      <c r="J126" s="162"/>
      <c r="K126" s="270"/>
    </row>
    <row r="127" spans="1:11" s="145" customFormat="1" ht="47.25" hidden="1" outlineLevel="1">
      <c r="A127" s="272">
        <v>4</v>
      </c>
      <c r="B127" s="163" t="s">
        <v>130</v>
      </c>
      <c r="C127" s="156"/>
      <c r="D127" s="162" t="s">
        <v>291</v>
      </c>
      <c r="E127" s="162" t="s">
        <v>291</v>
      </c>
      <c r="F127" s="158"/>
      <c r="G127" s="162" t="s">
        <v>291</v>
      </c>
      <c r="H127" s="162" t="s">
        <v>291</v>
      </c>
      <c r="I127" s="158"/>
      <c r="J127" s="162"/>
      <c r="K127" s="270"/>
    </row>
    <row r="128" spans="1:11" s="145" customFormat="1" ht="47.25" hidden="1" outlineLevel="1">
      <c r="A128" s="272">
        <v>5</v>
      </c>
      <c r="B128" s="163" t="s">
        <v>131</v>
      </c>
      <c r="C128" s="156"/>
      <c r="D128" s="162" t="s">
        <v>291</v>
      </c>
      <c r="E128" s="162" t="s">
        <v>291</v>
      </c>
      <c r="F128" s="158"/>
      <c r="G128" s="162" t="s">
        <v>291</v>
      </c>
      <c r="H128" s="162" t="s">
        <v>291</v>
      </c>
      <c r="I128" s="158"/>
      <c r="J128" s="162"/>
      <c r="K128" s="270"/>
    </row>
    <row r="129" spans="1:11" s="145" customFormat="1" ht="19.5" customHeight="1" hidden="1" outlineLevel="1">
      <c r="A129" s="271" t="s">
        <v>300</v>
      </c>
      <c r="B129" s="155" t="s">
        <v>297</v>
      </c>
      <c r="C129" s="156"/>
      <c r="D129" s="156"/>
      <c r="E129" s="156"/>
      <c r="F129" s="156"/>
      <c r="G129" s="156"/>
      <c r="H129" s="156"/>
      <c r="I129" s="156"/>
      <c r="J129" s="158"/>
      <c r="K129" s="270"/>
    </row>
    <row r="130" spans="1:11" s="144" customFormat="1" ht="24.75" customHeight="1" collapsed="1">
      <c r="A130" s="353" t="s">
        <v>261</v>
      </c>
      <c r="B130" s="354"/>
      <c r="C130" s="354"/>
      <c r="D130" s="354"/>
      <c r="E130" s="354"/>
      <c r="F130" s="354"/>
      <c r="G130" s="354"/>
      <c r="H130" s="354"/>
      <c r="I130" s="354"/>
      <c r="J130" s="355"/>
      <c r="K130" s="278"/>
    </row>
    <row r="131" spans="1:11" s="145" customFormat="1" ht="31.5" hidden="1" outlineLevel="1">
      <c r="A131" s="272">
        <v>1</v>
      </c>
      <c r="B131" s="163" t="s">
        <v>132</v>
      </c>
      <c r="C131" s="156"/>
      <c r="D131" s="156"/>
      <c r="E131" s="156"/>
      <c r="F131" s="156"/>
      <c r="G131" s="156"/>
      <c r="H131" s="156"/>
      <c r="I131" s="156"/>
      <c r="J131" s="162"/>
      <c r="K131" s="270"/>
    </row>
    <row r="132" spans="1:11" s="145" customFormat="1" ht="30" customHeight="1" hidden="1" outlineLevel="1">
      <c r="A132" s="363">
        <v>2</v>
      </c>
      <c r="B132" s="163" t="s">
        <v>133</v>
      </c>
      <c r="C132" s="156"/>
      <c r="D132" s="162" t="s">
        <v>291</v>
      </c>
      <c r="E132" s="162" t="s">
        <v>291</v>
      </c>
      <c r="F132" s="156"/>
      <c r="G132" s="162" t="s">
        <v>291</v>
      </c>
      <c r="H132" s="162" t="s">
        <v>291</v>
      </c>
      <c r="I132" s="156"/>
      <c r="J132" s="162"/>
      <c r="K132" s="270"/>
    </row>
    <row r="133" spans="1:11" s="145" customFormat="1" ht="19.5" customHeight="1" hidden="1" outlineLevel="1">
      <c r="A133" s="363"/>
      <c r="B133" s="164" t="s">
        <v>395</v>
      </c>
      <c r="C133" s="156"/>
      <c r="D133" s="162" t="s">
        <v>291</v>
      </c>
      <c r="E133" s="162" t="s">
        <v>291</v>
      </c>
      <c r="F133" s="156"/>
      <c r="G133" s="162" t="s">
        <v>291</v>
      </c>
      <c r="H133" s="162" t="s">
        <v>291</v>
      </c>
      <c r="I133" s="156"/>
      <c r="J133" s="162"/>
      <c r="K133" s="270"/>
    </row>
    <row r="134" spans="1:11" s="145" customFormat="1" ht="19.5" customHeight="1" hidden="1" outlineLevel="1">
      <c r="A134" s="363"/>
      <c r="B134" s="164" t="s">
        <v>396</v>
      </c>
      <c r="C134" s="156"/>
      <c r="D134" s="162" t="s">
        <v>291</v>
      </c>
      <c r="E134" s="162" t="s">
        <v>291</v>
      </c>
      <c r="F134" s="156"/>
      <c r="G134" s="162" t="s">
        <v>291</v>
      </c>
      <c r="H134" s="162" t="s">
        <v>291</v>
      </c>
      <c r="I134" s="156"/>
      <c r="J134" s="162"/>
      <c r="K134" s="270"/>
    </row>
    <row r="135" spans="1:11" s="145" customFormat="1" ht="19.5" customHeight="1" hidden="1" outlineLevel="1">
      <c r="A135" s="363"/>
      <c r="B135" s="164" t="s">
        <v>397</v>
      </c>
      <c r="C135" s="156"/>
      <c r="D135" s="162" t="s">
        <v>291</v>
      </c>
      <c r="E135" s="162" t="s">
        <v>291</v>
      </c>
      <c r="F135" s="156"/>
      <c r="G135" s="162" t="s">
        <v>291</v>
      </c>
      <c r="H135" s="162" t="s">
        <v>291</v>
      </c>
      <c r="I135" s="156"/>
      <c r="J135" s="162"/>
      <c r="K135" s="270"/>
    </row>
    <row r="136" spans="1:11" s="145" customFormat="1" ht="47.25" hidden="1" outlineLevel="1">
      <c r="A136" s="272">
        <v>3</v>
      </c>
      <c r="B136" s="155" t="s">
        <v>134</v>
      </c>
      <c r="C136" s="156"/>
      <c r="D136" s="162"/>
      <c r="E136" s="162"/>
      <c r="F136" s="156"/>
      <c r="G136" s="162"/>
      <c r="H136" s="162"/>
      <c r="I136" s="156"/>
      <c r="J136" s="162"/>
      <c r="K136" s="270"/>
    </row>
    <row r="137" spans="1:11" s="145" customFormat="1" ht="19.5" customHeight="1" hidden="1" outlineLevel="1">
      <c r="A137" s="271" t="s">
        <v>300</v>
      </c>
      <c r="B137" s="155" t="s">
        <v>297</v>
      </c>
      <c r="C137" s="156"/>
      <c r="D137" s="156"/>
      <c r="E137" s="156"/>
      <c r="F137" s="156"/>
      <c r="G137" s="156"/>
      <c r="H137" s="156"/>
      <c r="I137" s="156"/>
      <c r="J137" s="158"/>
      <c r="K137" s="270"/>
    </row>
    <row r="138" spans="1:11" s="144" customFormat="1" ht="24.75" customHeight="1" collapsed="1">
      <c r="A138" s="353" t="s">
        <v>262</v>
      </c>
      <c r="B138" s="354"/>
      <c r="C138" s="354"/>
      <c r="D138" s="354"/>
      <c r="E138" s="354"/>
      <c r="F138" s="354"/>
      <c r="G138" s="354"/>
      <c r="H138" s="354"/>
      <c r="I138" s="354"/>
      <c r="J138" s="355"/>
      <c r="K138" s="278"/>
    </row>
    <row r="139" spans="1:11" s="145" customFormat="1" ht="30" customHeight="1" hidden="1" outlineLevel="1">
      <c r="A139" s="272">
        <v>1</v>
      </c>
      <c r="B139" s="163" t="s">
        <v>263</v>
      </c>
      <c r="C139" s="156"/>
      <c r="D139" s="156"/>
      <c r="E139" s="156"/>
      <c r="F139" s="156"/>
      <c r="G139" s="156"/>
      <c r="H139" s="156"/>
      <c r="I139" s="156"/>
      <c r="J139" s="162"/>
      <c r="K139" s="270"/>
    </row>
    <row r="140" spans="1:11" s="145" customFormat="1" ht="30" customHeight="1" hidden="1" outlineLevel="1">
      <c r="A140" s="272">
        <v>2</v>
      </c>
      <c r="B140" s="163" t="s">
        <v>135</v>
      </c>
      <c r="C140" s="156"/>
      <c r="D140" s="162" t="s">
        <v>291</v>
      </c>
      <c r="E140" s="162" t="s">
        <v>291</v>
      </c>
      <c r="F140" s="156"/>
      <c r="G140" s="162" t="s">
        <v>291</v>
      </c>
      <c r="H140" s="162" t="s">
        <v>291</v>
      </c>
      <c r="I140" s="156"/>
      <c r="J140" s="162"/>
      <c r="K140" s="270"/>
    </row>
    <row r="141" spans="1:11" s="145" customFormat="1" ht="30" customHeight="1" hidden="1" outlineLevel="1">
      <c r="A141" s="272">
        <v>3</v>
      </c>
      <c r="B141" s="163" t="s">
        <v>369</v>
      </c>
      <c r="C141" s="156"/>
      <c r="D141" s="162" t="s">
        <v>291</v>
      </c>
      <c r="E141" s="162" t="s">
        <v>291</v>
      </c>
      <c r="F141" s="156"/>
      <c r="G141" s="162" t="s">
        <v>291</v>
      </c>
      <c r="H141" s="162" t="s">
        <v>291</v>
      </c>
      <c r="I141" s="156"/>
      <c r="J141" s="162"/>
      <c r="K141" s="270"/>
    </row>
    <row r="142" spans="1:11" s="145" customFormat="1" ht="19.5" customHeight="1" hidden="1" outlineLevel="1">
      <c r="A142" s="271" t="s">
        <v>300</v>
      </c>
      <c r="B142" s="155" t="s">
        <v>297</v>
      </c>
      <c r="C142" s="156"/>
      <c r="D142" s="156"/>
      <c r="E142" s="156"/>
      <c r="F142" s="156"/>
      <c r="G142" s="156"/>
      <c r="H142" s="156"/>
      <c r="I142" s="156"/>
      <c r="J142" s="158"/>
      <c r="K142" s="270"/>
    </row>
    <row r="143" spans="1:11" s="144" customFormat="1" ht="24.75" customHeight="1" collapsed="1">
      <c r="A143" s="353" t="s">
        <v>264</v>
      </c>
      <c r="B143" s="354"/>
      <c r="C143" s="354"/>
      <c r="D143" s="354"/>
      <c r="E143" s="354"/>
      <c r="F143" s="354"/>
      <c r="G143" s="354"/>
      <c r="H143" s="354"/>
      <c r="I143" s="354"/>
      <c r="J143" s="355"/>
      <c r="K143" s="278"/>
    </row>
    <row r="144" spans="1:11" s="145" customFormat="1" ht="30" customHeight="1" hidden="1" outlineLevel="1">
      <c r="A144" s="272">
        <v>1</v>
      </c>
      <c r="B144" s="163" t="s">
        <v>265</v>
      </c>
      <c r="C144" s="156"/>
      <c r="D144" s="156"/>
      <c r="E144" s="156"/>
      <c r="F144" s="156"/>
      <c r="G144" s="156"/>
      <c r="H144" s="156"/>
      <c r="I144" s="156"/>
      <c r="J144" s="162"/>
      <c r="K144" s="270"/>
    </row>
    <row r="145" spans="1:11" s="145" customFormat="1" ht="30" customHeight="1" hidden="1" outlineLevel="1">
      <c r="A145" s="272">
        <v>2</v>
      </c>
      <c r="B145" s="163" t="s">
        <v>370</v>
      </c>
      <c r="C145" s="156"/>
      <c r="D145" s="162" t="s">
        <v>291</v>
      </c>
      <c r="E145" s="162" t="s">
        <v>291</v>
      </c>
      <c r="F145" s="156"/>
      <c r="G145" s="162" t="s">
        <v>291</v>
      </c>
      <c r="H145" s="162" t="s">
        <v>291</v>
      </c>
      <c r="I145" s="156"/>
      <c r="J145" s="162"/>
      <c r="K145" s="270"/>
    </row>
    <row r="146" spans="1:11" s="145" customFormat="1" ht="23.25" customHeight="1" hidden="1" outlineLevel="1">
      <c r="A146" s="271" t="s">
        <v>300</v>
      </c>
      <c r="B146" s="155" t="s">
        <v>297</v>
      </c>
      <c r="C146" s="156"/>
      <c r="D146" s="156"/>
      <c r="E146" s="156"/>
      <c r="F146" s="156"/>
      <c r="G146" s="156"/>
      <c r="H146" s="156"/>
      <c r="I146" s="156"/>
      <c r="J146" s="158"/>
      <c r="K146" s="270"/>
    </row>
    <row r="147" spans="1:11" s="145" customFormat="1" ht="24.75" customHeight="1" collapsed="1">
      <c r="A147" s="357" t="s">
        <v>347</v>
      </c>
      <c r="B147" s="358"/>
      <c r="C147" s="358"/>
      <c r="D147" s="358"/>
      <c r="E147" s="358"/>
      <c r="F147" s="358"/>
      <c r="G147" s="358"/>
      <c r="H147" s="358"/>
      <c r="I147" s="358"/>
      <c r="J147" s="359"/>
      <c r="K147" s="270"/>
    </row>
    <row r="148" spans="1:11" s="144" customFormat="1" ht="24.75" customHeight="1">
      <c r="A148" s="353" t="s">
        <v>266</v>
      </c>
      <c r="B148" s="354"/>
      <c r="C148" s="354"/>
      <c r="D148" s="354"/>
      <c r="E148" s="354"/>
      <c r="F148" s="354"/>
      <c r="G148" s="354"/>
      <c r="H148" s="354"/>
      <c r="I148" s="354"/>
      <c r="J148" s="355"/>
      <c r="K148" s="278"/>
    </row>
    <row r="149" spans="1:11" s="145" customFormat="1" ht="27.75" customHeight="1" outlineLevel="1">
      <c r="A149" s="363">
        <v>1</v>
      </c>
      <c r="B149" s="163" t="s">
        <v>348</v>
      </c>
      <c r="C149" s="160" t="s">
        <v>231</v>
      </c>
      <c r="D149" s="158">
        <f>G149-13323</f>
        <v>2048</v>
      </c>
      <c r="E149" s="158">
        <f>H149-9103</f>
        <v>1551</v>
      </c>
      <c r="F149" s="157">
        <f>D149+E149</f>
        <v>3599</v>
      </c>
      <c r="G149" s="158">
        <f>2634+418+12319</f>
        <v>15371</v>
      </c>
      <c r="H149" s="158">
        <f>1718+22+8914</f>
        <v>10654</v>
      </c>
      <c r="I149" s="157">
        <f>G149+H149</f>
        <v>26025</v>
      </c>
      <c r="J149" s="160" t="s">
        <v>291</v>
      </c>
      <c r="K149" s="270"/>
    </row>
    <row r="150" spans="1:11" s="145" customFormat="1" ht="19.5" customHeight="1" outlineLevel="1">
      <c r="A150" s="363"/>
      <c r="B150" s="167" t="s">
        <v>398</v>
      </c>
      <c r="C150" s="160" t="s">
        <v>231</v>
      </c>
      <c r="D150" s="158">
        <f>G150-5901</f>
        <v>795</v>
      </c>
      <c r="E150" s="158">
        <f>H150-3705</f>
        <v>527</v>
      </c>
      <c r="F150" s="157">
        <f aca="true" t="shared" si="0" ref="F150:F165">D150+E150</f>
        <v>1322</v>
      </c>
      <c r="G150" s="158">
        <f>469+36+6191</f>
        <v>6696</v>
      </c>
      <c r="H150" s="158">
        <f>494+2+3736</f>
        <v>4232</v>
      </c>
      <c r="I150" s="157">
        <f aca="true" t="shared" si="1" ref="I150:I165">G150+H150</f>
        <v>10928</v>
      </c>
      <c r="J150" s="160" t="s">
        <v>291</v>
      </c>
      <c r="K150" s="270"/>
    </row>
    <row r="151" spans="1:11" s="145" customFormat="1" ht="19.5" customHeight="1" outlineLevel="1">
      <c r="A151" s="363"/>
      <c r="B151" s="167" t="s">
        <v>399</v>
      </c>
      <c r="C151" s="160" t="s">
        <v>231</v>
      </c>
      <c r="D151" s="158">
        <f>G151-2381</f>
        <v>367</v>
      </c>
      <c r="E151" s="158">
        <f>H151-1552</f>
        <v>201</v>
      </c>
      <c r="F151" s="157">
        <f t="shared" si="0"/>
        <v>568</v>
      </c>
      <c r="G151" s="158">
        <f>185+15+2548</f>
        <v>2748</v>
      </c>
      <c r="H151" s="158">
        <f>220+1+1532</f>
        <v>1753</v>
      </c>
      <c r="I151" s="157">
        <f t="shared" si="1"/>
        <v>4501</v>
      </c>
      <c r="J151" s="160" t="s">
        <v>291</v>
      </c>
      <c r="K151" s="270"/>
    </row>
    <row r="152" spans="1:11" s="145" customFormat="1" ht="15.75" outlineLevel="1">
      <c r="A152" s="363"/>
      <c r="B152" s="167" t="s">
        <v>267</v>
      </c>
      <c r="C152" s="160" t="s">
        <v>231</v>
      </c>
      <c r="D152" s="158">
        <f>G152-7503</f>
        <v>1418</v>
      </c>
      <c r="E152" s="158">
        <f>H152-5015</f>
        <v>964</v>
      </c>
      <c r="F152" s="157">
        <f t="shared" si="0"/>
        <v>2382</v>
      </c>
      <c r="G152" s="158">
        <f>1434+88+7399</f>
        <v>8921</v>
      </c>
      <c r="H152" s="158">
        <f>999+3+4977</f>
        <v>5979</v>
      </c>
      <c r="I152" s="157">
        <f t="shared" si="1"/>
        <v>14900</v>
      </c>
      <c r="J152" s="160" t="s">
        <v>291</v>
      </c>
      <c r="K152" s="270"/>
    </row>
    <row r="153" spans="1:11" s="145" customFormat="1" ht="19.5" customHeight="1" outlineLevel="1">
      <c r="A153" s="363"/>
      <c r="B153" s="163" t="s">
        <v>268</v>
      </c>
      <c r="C153" s="160" t="s">
        <v>231</v>
      </c>
      <c r="D153" s="158">
        <f>G153-1099</f>
        <v>216</v>
      </c>
      <c r="E153" s="158">
        <f>H153-625</f>
        <v>128</v>
      </c>
      <c r="F153" s="157">
        <f t="shared" si="0"/>
        <v>344</v>
      </c>
      <c r="G153" s="158">
        <f>461+9+845</f>
        <v>1315</v>
      </c>
      <c r="H153" s="158">
        <f>297+0+456</f>
        <v>753</v>
      </c>
      <c r="I153" s="157">
        <f t="shared" si="1"/>
        <v>2068</v>
      </c>
      <c r="J153" s="160" t="s">
        <v>291</v>
      </c>
      <c r="K153" s="270"/>
    </row>
    <row r="154" spans="1:11" s="145" customFormat="1" ht="19.5" customHeight="1" outlineLevel="1">
      <c r="A154" s="363"/>
      <c r="B154" s="163" t="s">
        <v>269</v>
      </c>
      <c r="C154" s="160" t="s">
        <v>231</v>
      </c>
      <c r="D154" s="158">
        <f>G154-3612</f>
        <v>824</v>
      </c>
      <c r="E154" s="158">
        <f>H154-1985</f>
        <v>564</v>
      </c>
      <c r="F154" s="157">
        <f t="shared" si="0"/>
        <v>1388</v>
      </c>
      <c r="G154" s="158">
        <f>620+0+3816</f>
        <v>4436</v>
      </c>
      <c r="H154" s="158">
        <f>280+2269</f>
        <v>2549</v>
      </c>
      <c r="I154" s="157">
        <f t="shared" si="1"/>
        <v>6985</v>
      </c>
      <c r="J154" s="160" t="s">
        <v>291</v>
      </c>
      <c r="K154" s="270"/>
    </row>
    <row r="155" spans="1:11" s="145" customFormat="1" ht="19.5" customHeight="1" outlineLevel="1">
      <c r="A155" s="363"/>
      <c r="B155" s="163" t="s">
        <v>270</v>
      </c>
      <c r="C155" s="160" t="s">
        <v>231</v>
      </c>
      <c r="D155" s="158">
        <f>G155-4651</f>
        <v>771</v>
      </c>
      <c r="E155" s="158">
        <f>H155-3418</f>
        <v>578</v>
      </c>
      <c r="F155" s="157">
        <f t="shared" si="0"/>
        <v>1349</v>
      </c>
      <c r="G155" s="158">
        <f>738+87+4597</f>
        <v>5422</v>
      </c>
      <c r="H155" s="158">
        <f>601+3+3392</f>
        <v>3996</v>
      </c>
      <c r="I155" s="157">
        <f t="shared" si="1"/>
        <v>9418</v>
      </c>
      <c r="J155" s="160" t="s">
        <v>291</v>
      </c>
      <c r="K155" s="270"/>
    </row>
    <row r="156" spans="1:11" s="145" customFormat="1" ht="19.5" customHeight="1" outlineLevel="1">
      <c r="A156" s="363"/>
      <c r="B156" s="167" t="s">
        <v>400</v>
      </c>
      <c r="C156" s="160" t="s">
        <v>231</v>
      </c>
      <c r="D156" s="158">
        <f>G156-1392</f>
        <v>352</v>
      </c>
      <c r="E156" s="158">
        <f>H156-1281</f>
        <v>453</v>
      </c>
      <c r="F156" s="157">
        <f t="shared" si="0"/>
        <v>805</v>
      </c>
      <c r="G156" s="158">
        <f>675+48+1021</f>
        <v>1744</v>
      </c>
      <c r="H156" s="158">
        <f>460+3+1271</f>
        <v>1734</v>
      </c>
      <c r="I156" s="157">
        <f t="shared" si="1"/>
        <v>3478</v>
      </c>
      <c r="J156" s="160" t="s">
        <v>291</v>
      </c>
      <c r="K156" s="270"/>
    </row>
    <row r="157" spans="1:11" s="145" customFormat="1" ht="19.5" customHeight="1" outlineLevel="1">
      <c r="A157" s="363"/>
      <c r="B157" s="167" t="s">
        <v>401</v>
      </c>
      <c r="C157" s="160" t="s">
        <v>231</v>
      </c>
      <c r="D157" s="158">
        <f>G157-5268</f>
        <v>2014</v>
      </c>
      <c r="E157" s="158">
        <f>H157-3215</f>
        <v>1562</v>
      </c>
      <c r="F157" s="157">
        <f t="shared" si="0"/>
        <v>3576</v>
      </c>
      <c r="G157" s="158">
        <f>1161+6121</f>
        <v>7282</v>
      </c>
      <c r="H157" s="158">
        <f>427+4350</f>
        <v>4777</v>
      </c>
      <c r="I157" s="157">
        <f t="shared" si="1"/>
        <v>12059</v>
      </c>
      <c r="J157" s="160" t="s">
        <v>291</v>
      </c>
      <c r="K157" s="270"/>
    </row>
    <row r="158" spans="1:11" s="145" customFormat="1" ht="45" customHeight="1" outlineLevel="1">
      <c r="A158" s="272">
        <v>2</v>
      </c>
      <c r="B158" s="155" t="s">
        <v>402</v>
      </c>
      <c r="C158" s="156">
        <v>190</v>
      </c>
      <c r="D158" s="158">
        <f>G158-301</f>
        <v>39</v>
      </c>
      <c r="E158" s="158">
        <f>H158-19</f>
        <v>2</v>
      </c>
      <c r="F158" s="157">
        <f t="shared" si="0"/>
        <v>41</v>
      </c>
      <c r="G158" s="158">
        <v>340</v>
      </c>
      <c r="H158" s="158">
        <v>21</v>
      </c>
      <c r="I158" s="157">
        <f t="shared" si="1"/>
        <v>361</v>
      </c>
      <c r="J158" s="250">
        <f>I158/C158*100</f>
        <v>190</v>
      </c>
      <c r="K158" s="270"/>
    </row>
    <row r="159" spans="1:11" s="145" customFormat="1" ht="19.5" customHeight="1" outlineLevel="1">
      <c r="A159" s="363">
        <v>3</v>
      </c>
      <c r="B159" s="155" t="s">
        <v>175</v>
      </c>
      <c r="C159" s="160" t="s">
        <v>231</v>
      </c>
      <c r="D159" s="158">
        <f>G159-1358</f>
        <v>305</v>
      </c>
      <c r="E159" s="158">
        <f>H159-1974</f>
        <v>457</v>
      </c>
      <c r="F159" s="157">
        <f t="shared" si="0"/>
        <v>762</v>
      </c>
      <c r="G159" s="158">
        <v>1663</v>
      </c>
      <c r="H159" s="158">
        <v>2431</v>
      </c>
      <c r="I159" s="157">
        <f t="shared" si="1"/>
        <v>4094</v>
      </c>
      <c r="J159" s="160" t="s">
        <v>291</v>
      </c>
      <c r="K159" s="270"/>
    </row>
    <row r="160" spans="1:11" s="145" customFormat="1" ht="19.5" customHeight="1" outlineLevel="1">
      <c r="A160" s="363"/>
      <c r="B160" s="164" t="s">
        <v>398</v>
      </c>
      <c r="C160" s="160" t="s">
        <v>231</v>
      </c>
      <c r="D160" s="158">
        <f>G160-317</f>
        <v>67</v>
      </c>
      <c r="E160" s="158">
        <f>H160-404</f>
        <v>126</v>
      </c>
      <c r="F160" s="157">
        <f t="shared" si="0"/>
        <v>193</v>
      </c>
      <c r="G160" s="158">
        <v>384</v>
      </c>
      <c r="H160" s="158">
        <v>530</v>
      </c>
      <c r="I160" s="157">
        <f t="shared" si="1"/>
        <v>914</v>
      </c>
      <c r="J160" s="160" t="s">
        <v>291</v>
      </c>
      <c r="K160" s="270"/>
    </row>
    <row r="161" spans="1:11" s="145" customFormat="1" ht="19.5" customHeight="1" outlineLevel="1">
      <c r="A161" s="363"/>
      <c r="B161" s="164" t="s">
        <v>267</v>
      </c>
      <c r="C161" s="160" t="s">
        <v>231</v>
      </c>
      <c r="D161" s="158">
        <f>G161-728</f>
        <v>201</v>
      </c>
      <c r="E161" s="158">
        <f>H161-1102</f>
        <v>294</v>
      </c>
      <c r="F161" s="157">
        <f t="shared" si="0"/>
        <v>495</v>
      </c>
      <c r="G161" s="158">
        <v>929</v>
      </c>
      <c r="H161" s="158">
        <v>1396</v>
      </c>
      <c r="I161" s="157">
        <f t="shared" si="1"/>
        <v>2325</v>
      </c>
      <c r="J161" s="160" t="s">
        <v>291</v>
      </c>
      <c r="K161" s="270"/>
    </row>
    <row r="162" spans="1:11" s="145" customFormat="1" ht="19.5" customHeight="1" outlineLevel="1">
      <c r="A162" s="363"/>
      <c r="B162" s="155" t="s">
        <v>268</v>
      </c>
      <c r="C162" s="160" t="s">
        <v>231</v>
      </c>
      <c r="D162" s="158">
        <f>G162-41</f>
        <v>18</v>
      </c>
      <c r="E162" s="158">
        <f>H162-40</f>
        <v>25</v>
      </c>
      <c r="F162" s="157">
        <f t="shared" si="0"/>
        <v>43</v>
      </c>
      <c r="G162" s="158">
        <v>59</v>
      </c>
      <c r="H162" s="158">
        <v>65</v>
      </c>
      <c r="I162" s="157">
        <f t="shared" si="1"/>
        <v>124</v>
      </c>
      <c r="J162" s="160" t="s">
        <v>291</v>
      </c>
      <c r="K162" s="270"/>
    </row>
    <row r="163" spans="1:11" s="145" customFormat="1" ht="19.5" customHeight="1" outlineLevel="1">
      <c r="A163" s="363"/>
      <c r="B163" s="155" t="s">
        <v>269</v>
      </c>
      <c r="C163" s="160" t="s">
        <v>231</v>
      </c>
      <c r="D163" s="158">
        <f>G163-366</f>
        <v>116</v>
      </c>
      <c r="E163" s="158">
        <f>H163-545</f>
        <v>156</v>
      </c>
      <c r="F163" s="157">
        <f t="shared" si="0"/>
        <v>272</v>
      </c>
      <c r="G163" s="158">
        <v>482</v>
      </c>
      <c r="H163" s="158">
        <v>701</v>
      </c>
      <c r="I163" s="157">
        <f t="shared" si="1"/>
        <v>1183</v>
      </c>
      <c r="J163" s="160" t="s">
        <v>291</v>
      </c>
      <c r="K163" s="270"/>
    </row>
    <row r="164" spans="1:11" s="145" customFormat="1" ht="19.5" customHeight="1" outlineLevel="1">
      <c r="A164" s="363"/>
      <c r="B164" s="155" t="s">
        <v>271</v>
      </c>
      <c r="C164" s="160" t="s">
        <v>231</v>
      </c>
      <c r="D164" s="158">
        <f>G164-477</f>
        <v>112</v>
      </c>
      <c r="E164" s="158">
        <f>H164-750</f>
        <v>180</v>
      </c>
      <c r="F164" s="157">
        <f t="shared" si="0"/>
        <v>292</v>
      </c>
      <c r="G164" s="158">
        <v>589</v>
      </c>
      <c r="H164" s="158">
        <v>930</v>
      </c>
      <c r="I164" s="157">
        <f t="shared" si="1"/>
        <v>1519</v>
      </c>
      <c r="J164" s="160" t="s">
        <v>291</v>
      </c>
      <c r="K164" s="270"/>
    </row>
    <row r="165" spans="1:11" s="145" customFormat="1" ht="19.5" customHeight="1" outlineLevel="1">
      <c r="A165" s="363"/>
      <c r="B165" s="164" t="s">
        <v>400</v>
      </c>
      <c r="C165" s="160" t="s">
        <v>231</v>
      </c>
      <c r="D165" s="158">
        <f>G165-85</f>
        <v>29</v>
      </c>
      <c r="E165" s="158">
        <f>H165-192</f>
        <v>85</v>
      </c>
      <c r="F165" s="157">
        <f t="shared" si="0"/>
        <v>114</v>
      </c>
      <c r="G165" s="158">
        <v>114</v>
      </c>
      <c r="H165" s="158">
        <v>277</v>
      </c>
      <c r="I165" s="157">
        <f t="shared" si="1"/>
        <v>391</v>
      </c>
      <c r="J165" s="160" t="s">
        <v>291</v>
      </c>
      <c r="K165" s="270"/>
    </row>
    <row r="166" spans="1:11" s="145" customFormat="1" ht="30" customHeight="1" outlineLevel="1">
      <c r="A166" s="363">
        <v>4</v>
      </c>
      <c r="B166" s="163" t="s">
        <v>373</v>
      </c>
      <c r="C166" s="160" t="s">
        <v>231</v>
      </c>
      <c r="D166" s="162" t="s">
        <v>291</v>
      </c>
      <c r="E166" s="162" t="s">
        <v>291</v>
      </c>
      <c r="F166" s="157">
        <f>I166-3546</f>
        <v>770</v>
      </c>
      <c r="G166" s="162" t="s">
        <v>291</v>
      </c>
      <c r="H166" s="162" t="s">
        <v>291</v>
      </c>
      <c r="I166" s="157">
        <v>4316</v>
      </c>
      <c r="J166" s="160" t="s">
        <v>291</v>
      </c>
      <c r="K166" s="270"/>
    </row>
    <row r="167" spans="1:11" s="145" customFormat="1" ht="19.5" customHeight="1" outlineLevel="1">
      <c r="A167" s="363"/>
      <c r="B167" s="167" t="s">
        <v>403</v>
      </c>
      <c r="C167" s="160" t="s">
        <v>231</v>
      </c>
      <c r="D167" s="162" t="s">
        <v>291</v>
      </c>
      <c r="E167" s="162" t="s">
        <v>291</v>
      </c>
      <c r="F167" s="157">
        <f>I167-738</f>
        <v>194</v>
      </c>
      <c r="G167" s="162" t="s">
        <v>291</v>
      </c>
      <c r="H167" s="162" t="s">
        <v>291</v>
      </c>
      <c r="I167" s="157">
        <v>932</v>
      </c>
      <c r="J167" s="160" t="s">
        <v>291</v>
      </c>
      <c r="K167" s="270"/>
    </row>
    <row r="168" spans="1:11" s="145" customFormat="1" ht="30" customHeight="1" outlineLevel="1">
      <c r="A168" s="363"/>
      <c r="B168" s="167" t="s">
        <v>272</v>
      </c>
      <c r="C168" s="160" t="s">
        <v>231</v>
      </c>
      <c r="D168" s="162" t="s">
        <v>291</v>
      </c>
      <c r="E168" s="162" t="s">
        <v>291</v>
      </c>
      <c r="F168" s="157">
        <f>I168-1965</f>
        <v>500</v>
      </c>
      <c r="G168" s="162" t="s">
        <v>291</v>
      </c>
      <c r="H168" s="162" t="s">
        <v>291</v>
      </c>
      <c r="I168" s="157">
        <v>2465</v>
      </c>
      <c r="J168" s="160" t="s">
        <v>291</v>
      </c>
      <c r="K168" s="270"/>
    </row>
    <row r="169" spans="1:11" s="145" customFormat="1" ht="19.5" customHeight="1" outlineLevel="1">
      <c r="A169" s="363"/>
      <c r="B169" s="155" t="s">
        <v>273</v>
      </c>
      <c r="C169" s="160" t="s">
        <v>231</v>
      </c>
      <c r="D169" s="162" t="s">
        <v>291</v>
      </c>
      <c r="E169" s="162" t="s">
        <v>291</v>
      </c>
      <c r="F169" s="157">
        <f>I169-90</f>
        <v>45</v>
      </c>
      <c r="G169" s="162" t="s">
        <v>291</v>
      </c>
      <c r="H169" s="162" t="s">
        <v>291</v>
      </c>
      <c r="I169" s="157">
        <v>135</v>
      </c>
      <c r="J169" s="160" t="s">
        <v>291</v>
      </c>
      <c r="K169" s="270"/>
    </row>
    <row r="170" spans="1:11" s="145" customFormat="1" ht="19.5" customHeight="1" outlineLevel="1">
      <c r="A170" s="363"/>
      <c r="B170" s="163" t="s">
        <v>274</v>
      </c>
      <c r="C170" s="160" t="s">
        <v>231</v>
      </c>
      <c r="D170" s="162" t="s">
        <v>291</v>
      </c>
      <c r="E170" s="162" t="s">
        <v>291</v>
      </c>
      <c r="F170" s="157">
        <f>I170-1007</f>
        <v>276</v>
      </c>
      <c r="G170" s="162" t="s">
        <v>291</v>
      </c>
      <c r="H170" s="162" t="s">
        <v>291</v>
      </c>
      <c r="I170" s="157">
        <v>1283</v>
      </c>
      <c r="J170" s="160" t="s">
        <v>291</v>
      </c>
      <c r="K170" s="270"/>
    </row>
    <row r="171" spans="1:11" s="145" customFormat="1" ht="19.5" customHeight="1" outlineLevel="1">
      <c r="A171" s="363"/>
      <c r="B171" s="170" t="s">
        <v>275</v>
      </c>
      <c r="C171" s="160" t="s">
        <v>231</v>
      </c>
      <c r="D171" s="162" t="s">
        <v>291</v>
      </c>
      <c r="E171" s="162" t="s">
        <v>291</v>
      </c>
      <c r="F171" s="157">
        <f>I171-1302</f>
        <v>292</v>
      </c>
      <c r="G171" s="162" t="s">
        <v>291</v>
      </c>
      <c r="H171" s="162" t="s">
        <v>291</v>
      </c>
      <c r="I171" s="157">
        <v>1594</v>
      </c>
      <c r="J171" s="160" t="s">
        <v>291</v>
      </c>
      <c r="K171" s="270"/>
    </row>
    <row r="172" spans="1:11" s="145" customFormat="1" ht="19.5" customHeight="1" outlineLevel="1">
      <c r="A172" s="363"/>
      <c r="B172" s="175" t="s">
        <v>404</v>
      </c>
      <c r="C172" s="160" t="s">
        <v>231</v>
      </c>
      <c r="D172" s="162" t="s">
        <v>291</v>
      </c>
      <c r="E172" s="162" t="s">
        <v>291</v>
      </c>
      <c r="F172" s="157">
        <f>I172-293</f>
        <v>114</v>
      </c>
      <c r="G172" s="162" t="s">
        <v>291</v>
      </c>
      <c r="H172" s="162" t="s">
        <v>291</v>
      </c>
      <c r="I172" s="157">
        <v>407</v>
      </c>
      <c r="J172" s="160" t="s">
        <v>291</v>
      </c>
      <c r="K172" s="270"/>
    </row>
    <row r="173" spans="1:11" s="145" customFormat="1" ht="19.5" customHeight="1" outlineLevel="1">
      <c r="A173" s="271" t="s">
        <v>300</v>
      </c>
      <c r="B173" s="155" t="s">
        <v>297</v>
      </c>
      <c r="C173" s="160" t="s">
        <v>231</v>
      </c>
      <c r="D173" s="162" t="s">
        <v>291</v>
      </c>
      <c r="E173" s="162" t="s">
        <v>291</v>
      </c>
      <c r="F173" s="162" t="s">
        <v>291</v>
      </c>
      <c r="G173" s="162" t="s">
        <v>291</v>
      </c>
      <c r="H173" s="162" t="s">
        <v>291</v>
      </c>
      <c r="I173" s="162" t="s">
        <v>291</v>
      </c>
      <c r="J173" s="162" t="s">
        <v>291</v>
      </c>
      <c r="K173" s="270"/>
    </row>
    <row r="174" spans="1:11" s="144" customFormat="1" ht="24.75" customHeight="1">
      <c r="A174" s="353" t="s">
        <v>276</v>
      </c>
      <c r="B174" s="354"/>
      <c r="C174" s="354"/>
      <c r="D174" s="354"/>
      <c r="E174" s="354"/>
      <c r="F174" s="354"/>
      <c r="G174" s="354"/>
      <c r="H174" s="354"/>
      <c r="I174" s="354"/>
      <c r="J174" s="355"/>
      <c r="K174" s="278"/>
    </row>
    <row r="175" spans="1:11" s="145" customFormat="1" ht="15.75" outlineLevel="1">
      <c r="A175" s="363">
        <v>1</v>
      </c>
      <c r="B175" s="163" t="s">
        <v>348</v>
      </c>
      <c r="C175" s="160" t="s">
        <v>231</v>
      </c>
      <c r="D175" s="158">
        <f>G175-340</f>
        <v>64</v>
      </c>
      <c r="E175" s="158">
        <f>H175-360</f>
        <v>51</v>
      </c>
      <c r="F175" s="157">
        <f>D175+E175</f>
        <v>115</v>
      </c>
      <c r="G175" s="158">
        <v>404</v>
      </c>
      <c r="H175" s="158">
        <v>411</v>
      </c>
      <c r="I175" s="157">
        <f>G175+H175</f>
        <v>815</v>
      </c>
      <c r="J175" s="160" t="s">
        <v>291</v>
      </c>
      <c r="K175" s="270"/>
    </row>
    <row r="176" spans="1:11" s="145" customFormat="1" ht="19.5" customHeight="1" outlineLevel="1">
      <c r="A176" s="363"/>
      <c r="B176" s="167" t="s">
        <v>398</v>
      </c>
      <c r="C176" s="160" t="s">
        <v>231</v>
      </c>
      <c r="D176" s="158">
        <f>G176-55</f>
        <v>7</v>
      </c>
      <c r="E176" s="158">
        <f>H176-77</f>
        <v>14</v>
      </c>
      <c r="F176" s="157">
        <f aca="true" t="shared" si="2" ref="F176:F193">D176+E176</f>
        <v>21</v>
      </c>
      <c r="G176" s="158">
        <v>62</v>
      </c>
      <c r="H176" s="158">
        <v>91</v>
      </c>
      <c r="I176" s="157">
        <f aca="true" t="shared" si="3" ref="I176:I193">G176+H176</f>
        <v>153</v>
      </c>
      <c r="J176" s="160" t="s">
        <v>291</v>
      </c>
      <c r="K176" s="270"/>
    </row>
    <row r="177" spans="1:11" s="145" customFormat="1" ht="19.5" customHeight="1" outlineLevel="1">
      <c r="A177" s="363"/>
      <c r="B177" s="167" t="s">
        <v>399</v>
      </c>
      <c r="C177" s="160" t="s">
        <v>231</v>
      </c>
      <c r="D177" s="158">
        <f>G177-25</f>
        <v>2</v>
      </c>
      <c r="E177" s="158">
        <f>H177-34</f>
        <v>7</v>
      </c>
      <c r="F177" s="157">
        <f t="shared" si="2"/>
        <v>9</v>
      </c>
      <c r="G177" s="158">
        <v>27</v>
      </c>
      <c r="H177" s="158">
        <v>41</v>
      </c>
      <c r="I177" s="157">
        <f t="shared" si="3"/>
        <v>68</v>
      </c>
      <c r="J177" s="160" t="s">
        <v>291</v>
      </c>
      <c r="K177" s="270"/>
    </row>
    <row r="178" spans="1:11" s="145" customFormat="1" ht="15.75" outlineLevel="1">
      <c r="A178" s="363"/>
      <c r="B178" s="167" t="s">
        <v>267</v>
      </c>
      <c r="C178" s="160" t="s">
        <v>231</v>
      </c>
      <c r="D178" s="158">
        <f>G178-196</f>
        <v>42</v>
      </c>
      <c r="E178" s="158">
        <f>H178-190</f>
        <v>40</v>
      </c>
      <c r="F178" s="157">
        <f t="shared" si="2"/>
        <v>82</v>
      </c>
      <c r="G178" s="158">
        <v>238</v>
      </c>
      <c r="H178" s="158">
        <v>230</v>
      </c>
      <c r="I178" s="157">
        <f t="shared" si="3"/>
        <v>468</v>
      </c>
      <c r="J178" s="160" t="s">
        <v>291</v>
      </c>
      <c r="K178" s="270"/>
    </row>
    <row r="179" spans="1:11" s="145" customFormat="1" ht="19.5" customHeight="1" outlineLevel="1">
      <c r="A179" s="363"/>
      <c r="B179" s="163" t="s">
        <v>268</v>
      </c>
      <c r="C179" s="160" t="s">
        <v>231</v>
      </c>
      <c r="D179" s="158">
        <f>G179-26</f>
        <v>13</v>
      </c>
      <c r="E179" s="158">
        <f>H179-21</f>
        <v>17</v>
      </c>
      <c r="F179" s="157">
        <f t="shared" si="2"/>
        <v>30</v>
      </c>
      <c r="G179" s="158">
        <v>39</v>
      </c>
      <c r="H179" s="158">
        <v>38</v>
      </c>
      <c r="I179" s="157">
        <f t="shared" si="3"/>
        <v>77</v>
      </c>
      <c r="J179" s="160" t="s">
        <v>291</v>
      </c>
      <c r="K179" s="270"/>
    </row>
    <row r="180" spans="1:11" s="145" customFormat="1" ht="19.5" customHeight="1" outlineLevel="1">
      <c r="A180" s="363"/>
      <c r="B180" s="163" t="s">
        <v>269</v>
      </c>
      <c r="C180" s="160" t="s">
        <v>231</v>
      </c>
      <c r="D180" s="158">
        <f>G180-66</f>
        <v>14</v>
      </c>
      <c r="E180" s="158">
        <f>H180-64</f>
        <v>12</v>
      </c>
      <c r="F180" s="157">
        <f t="shared" si="2"/>
        <v>26</v>
      </c>
      <c r="G180" s="158">
        <v>80</v>
      </c>
      <c r="H180" s="158">
        <v>76</v>
      </c>
      <c r="I180" s="157">
        <f t="shared" si="3"/>
        <v>156</v>
      </c>
      <c r="J180" s="160" t="s">
        <v>291</v>
      </c>
      <c r="K180" s="270"/>
    </row>
    <row r="181" spans="1:11" s="145" customFormat="1" ht="19.5" customHeight="1" outlineLevel="1">
      <c r="A181" s="363"/>
      <c r="B181" s="163" t="s">
        <v>270</v>
      </c>
      <c r="C181" s="160" t="s">
        <v>231</v>
      </c>
      <c r="D181" s="158">
        <f>G181-145</f>
        <v>33</v>
      </c>
      <c r="E181" s="158">
        <f>H181-143</f>
        <v>26</v>
      </c>
      <c r="F181" s="157">
        <f t="shared" si="2"/>
        <v>59</v>
      </c>
      <c r="G181" s="158">
        <v>178</v>
      </c>
      <c r="H181" s="291">
        <v>169</v>
      </c>
      <c r="I181" s="157">
        <f t="shared" si="3"/>
        <v>347</v>
      </c>
      <c r="J181" s="160" t="s">
        <v>291</v>
      </c>
      <c r="K181" s="270"/>
    </row>
    <row r="182" spans="1:11" s="145" customFormat="1" ht="19.5" customHeight="1" outlineLevel="1">
      <c r="A182" s="363"/>
      <c r="B182" s="167" t="s">
        <v>400</v>
      </c>
      <c r="C182" s="160" t="s">
        <v>231</v>
      </c>
      <c r="D182" s="158">
        <f>G182-31</f>
        <v>9</v>
      </c>
      <c r="E182" s="158">
        <f>H182-47</f>
        <v>14</v>
      </c>
      <c r="F182" s="157">
        <f t="shared" si="2"/>
        <v>23</v>
      </c>
      <c r="G182" s="158">
        <v>40</v>
      </c>
      <c r="H182" s="158">
        <v>61</v>
      </c>
      <c r="I182" s="157">
        <f t="shared" si="3"/>
        <v>101</v>
      </c>
      <c r="J182" s="160" t="s">
        <v>291</v>
      </c>
      <c r="K182" s="270"/>
    </row>
    <row r="183" spans="1:11" s="145" customFormat="1" ht="23.25" customHeight="1" outlineLevel="1">
      <c r="A183" s="363"/>
      <c r="B183" s="167" t="s">
        <v>401</v>
      </c>
      <c r="C183" s="160" t="s">
        <v>231</v>
      </c>
      <c r="D183" s="158">
        <f>G183-212</f>
        <v>0</v>
      </c>
      <c r="E183" s="158">
        <f>H183-238</f>
        <v>0</v>
      </c>
      <c r="F183" s="157">
        <f t="shared" si="2"/>
        <v>0</v>
      </c>
      <c r="G183" s="158">
        <v>212</v>
      </c>
      <c r="H183" s="158">
        <v>238</v>
      </c>
      <c r="I183" s="157">
        <f t="shared" si="3"/>
        <v>450</v>
      </c>
      <c r="J183" s="160" t="s">
        <v>291</v>
      </c>
      <c r="K183" s="270"/>
    </row>
    <row r="184" spans="1:11" s="145" customFormat="1" ht="19.5" customHeight="1" outlineLevel="1">
      <c r="A184" s="361">
        <v>2</v>
      </c>
      <c r="B184" s="155" t="s">
        <v>175</v>
      </c>
      <c r="C184" s="160" t="s">
        <v>231</v>
      </c>
      <c r="D184" s="156">
        <f>G184-237</f>
        <v>59</v>
      </c>
      <c r="E184" s="156">
        <f>H184-272</f>
        <v>28</v>
      </c>
      <c r="F184" s="157">
        <f t="shared" si="2"/>
        <v>87</v>
      </c>
      <c r="G184" s="156">
        <v>296</v>
      </c>
      <c r="H184" s="156">
        <v>300</v>
      </c>
      <c r="I184" s="157">
        <f t="shared" si="3"/>
        <v>596</v>
      </c>
      <c r="J184" s="160" t="s">
        <v>291</v>
      </c>
      <c r="K184" s="270"/>
    </row>
    <row r="185" spans="1:11" s="145" customFormat="1" ht="22.5" customHeight="1" outlineLevel="1">
      <c r="A185" s="361"/>
      <c r="B185" s="164" t="s">
        <v>398</v>
      </c>
      <c r="C185" s="160" t="s">
        <v>231</v>
      </c>
      <c r="D185" s="156">
        <f>G185-25</f>
        <v>11</v>
      </c>
      <c r="E185" s="156">
        <f>H185-51</f>
        <v>7</v>
      </c>
      <c r="F185" s="157">
        <f t="shared" si="2"/>
        <v>18</v>
      </c>
      <c r="G185" s="156">
        <v>36</v>
      </c>
      <c r="H185" s="156">
        <v>58</v>
      </c>
      <c r="I185" s="157">
        <f t="shared" si="3"/>
        <v>94</v>
      </c>
      <c r="J185" s="160" t="s">
        <v>291</v>
      </c>
      <c r="K185" s="270"/>
    </row>
    <row r="186" spans="1:11" s="145" customFormat="1" ht="15.75" outlineLevel="1">
      <c r="A186" s="361"/>
      <c r="B186" s="164" t="s">
        <v>267</v>
      </c>
      <c r="C186" s="160" t="s">
        <v>231</v>
      </c>
      <c r="D186" s="156">
        <f>G186-125</f>
        <v>48</v>
      </c>
      <c r="E186" s="156">
        <f>H186-141</f>
        <v>22</v>
      </c>
      <c r="F186" s="157">
        <f t="shared" si="2"/>
        <v>70</v>
      </c>
      <c r="G186" s="156">
        <v>173</v>
      </c>
      <c r="H186" s="156">
        <v>163</v>
      </c>
      <c r="I186" s="157">
        <f t="shared" si="3"/>
        <v>336</v>
      </c>
      <c r="J186" s="160" t="s">
        <v>291</v>
      </c>
      <c r="K186" s="270"/>
    </row>
    <row r="187" spans="1:11" s="145" customFormat="1" ht="19.5" customHeight="1" outlineLevel="1">
      <c r="A187" s="361"/>
      <c r="B187" s="155" t="s">
        <v>268</v>
      </c>
      <c r="C187" s="160" t="s">
        <v>231</v>
      </c>
      <c r="D187" s="156">
        <f>G187-16</f>
        <v>5</v>
      </c>
      <c r="E187" s="156">
        <f>H187-15</f>
        <v>6</v>
      </c>
      <c r="F187" s="157">
        <f t="shared" si="2"/>
        <v>11</v>
      </c>
      <c r="G187" s="156">
        <v>21</v>
      </c>
      <c r="H187" s="156">
        <v>21</v>
      </c>
      <c r="I187" s="157">
        <f t="shared" si="3"/>
        <v>42</v>
      </c>
      <c r="J187" s="160" t="s">
        <v>291</v>
      </c>
      <c r="K187" s="270"/>
    </row>
    <row r="188" spans="1:11" s="145" customFormat="1" ht="19.5" customHeight="1" outlineLevel="1">
      <c r="A188" s="361"/>
      <c r="B188" s="155" t="s">
        <v>269</v>
      </c>
      <c r="C188" s="160" t="s">
        <v>231</v>
      </c>
      <c r="D188" s="156">
        <f>G188-43</f>
        <v>8</v>
      </c>
      <c r="E188" s="156">
        <f>H188-51</f>
        <v>6</v>
      </c>
      <c r="F188" s="157">
        <f t="shared" si="2"/>
        <v>14</v>
      </c>
      <c r="G188" s="156">
        <v>51</v>
      </c>
      <c r="H188" s="156">
        <v>57</v>
      </c>
      <c r="I188" s="157">
        <f t="shared" si="3"/>
        <v>108</v>
      </c>
      <c r="J188" s="160" t="s">
        <v>291</v>
      </c>
      <c r="K188" s="270"/>
    </row>
    <row r="189" spans="1:11" s="145" customFormat="1" ht="19.5" customHeight="1" outlineLevel="1">
      <c r="A189" s="361"/>
      <c r="B189" s="155" t="s">
        <v>271</v>
      </c>
      <c r="C189" s="160" t="s">
        <v>231</v>
      </c>
      <c r="D189" s="156">
        <f>G189-84</f>
        <v>40</v>
      </c>
      <c r="E189" s="156">
        <f>H189-104</f>
        <v>18</v>
      </c>
      <c r="F189" s="157">
        <f t="shared" si="2"/>
        <v>58</v>
      </c>
      <c r="G189" s="156">
        <v>124</v>
      </c>
      <c r="H189" s="156">
        <v>122</v>
      </c>
      <c r="I189" s="157">
        <f t="shared" si="3"/>
        <v>246</v>
      </c>
      <c r="J189" s="160" t="s">
        <v>291</v>
      </c>
      <c r="K189" s="270"/>
    </row>
    <row r="190" spans="1:11" s="145" customFormat="1" ht="19.5" customHeight="1" outlineLevel="1">
      <c r="A190" s="361"/>
      <c r="B190" s="164" t="s">
        <v>400</v>
      </c>
      <c r="C190" s="160" t="s">
        <v>231</v>
      </c>
      <c r="D190" s="156">
        <f>G190-23</f>
        <v>4</v>
      </c>
      <c r="E190" s="156">
        <f>H190-37</f>
        <v>2</v>
      </c>
      <c r="F190" s="157">
        <f t="shared" si="2"/>
        <v>6</v>
      </c>
      <c r="G190" s="156">
        <v>27</v>
      </c>
      <c r="H190" s="156">
        <v>39</v>
      </c>
      <c r="I190" s="157">
        <f t="shared" si="3"/>
        <v>66</v>
      </c>
      <c r="J190" s="160" t="s">
        <v>291</v>
      </c>
      <c r="K190" s="270"/>
    </row>
    <row r="191" spans="1:11" s="145" customFormat="1" ht="19.5" customHeight="1" outlineLevel="1">
      <c r="A191" s="360">
        <v>3</v>
      </c>
      <c r="B191" s="155" t="s">
        <v>143</v>
      </c>
      <c r="C191" s="160">
        <v>47</v>
      </c>
      <c r="D191" s="156">
        <v>0</v>
      </c>
      <c r="E191" s="156">
        <v>0</v>
      </c>
      <c r="F191" s="157">
        <f t="shared" si="2"/>
        <v>0</v>
      </c>
      <c r="G191" s="156">
        <v>0</v>
      </c>
      <c r="H191" s="156">
        <v>0</v>
      </c>
      <c r="I191" s="157">
        <f t="shared" si="3"/>
        <v>0</v>
      </c>
      <c r="J191" s="160">
        <v>0</v>
      </c>
      <c r="K191" s="270"/>
    </row>
    <row r="192" spans="1:11" s="145" customFormat="1" ht="19.5" customHeight="1" outlineLevel="1">
      <c r="A192" s="361"/>
      <c r="B192" s="167" t="s">
        <v>39</v>
      </c>
      <c r="C192" s="190" t="s">
        <v>231</v>
      </c>
      <c r="D192" s="166">
        <v>0</v>
      </c>
      <c r="E192" s="166">
        <v>0</v>
      </c>
      <c r="F192" s="157">
        <f t="shared" si="2"/>
        <v>0</v>
      </c>
      <c r="G192" s="166">
        <v>0</v>
      </c>
      <c r="H192" s="166">
        <v>0</v>
      </c>
      <c r="I192" s="157">
        <f t="shared" si="3"/>
        <v>0</v>
      </c>
      <c r="J192" s="190" t="s">
        <v>291</v>
      </c>
      <c r="K192" s="270"/>
    </row>
    <row r="193" spans="1:11" s="145" customFormat="1" ht="19.5" customHeight="1" outlineLevel="1">
      <c r="A193" s="362"/>
      <c r="B193" s="167" t="s">
        <v>400</v>
      </c>
      <c r="C193" s="190" t="s">
        <v>231</v>
      </c>
      <c r="D193" s="166">
        <v>0</v>
      </c>
      <c r="E193" s="166">
        <v>0</v>
      </c>
      <c r="F193" s="157">
        <f t="shared" si="2"/>
        <v>0</v>
      </c>
      <c r="G193" s="166">
        <v>0</v>
      </c>
      <c r="H193" s="166">
        <v>0</v>
      </c>
      <c r="I193" s="157">
        <f t="shared" si="3"/>
        <v>0</v>
      </c>
      <c r="J193" s="190" t="s">
        <v>291</v>
      </c>
      <c r="K193" s="270"/>
    </row>
    <row r="194" spans="1:11" s="145" customFormat="1" ht="30" customHeight="1" outlineLevel="1">
      <c r="A194" s="363">
        <v>4</v>
      </c>
      <c r="B194" s="163" t="s">
        <v>373</v>
      </c>
      <c r="C194" s="160" t="s">
        <v>231</v>
      </c>
      <c r="D194" s="162" t="s">
        <v>291</v>
      </c>
      <c r="E194" s="162" t="s">
        <v>291</v>
      </c>
      <c r="F194" s="188">
        <f>I194-509</f>
        <v>127</v>
      </c>
      <c r="G194" s="162" t="s">
        <v>291</v>
      </c>
      <c r="H194" s="162" t="s">
        <v>291</v>
      </c>
      <c r="I194" s="188">
        <v>636</v>
      </c>
      <c r="J194" s="160" t="s">
        <v>291</v>
      </c>
      <c r="K194" s="270"/>
    </row>
    <row r="195" spans="1:11" s="145" customFormat="1" ht="21.75" customHeight="1" outlineLevel="1">
      <c r="A195" s="363"/>
      <c r="B195" s="167" t="s">
        <v>403</v>
      </c>
      <c r="C195" s="160" t="s">
        <v>231</v>
      </c>
      <c r="D195" s="162" t="s">
        <v>291</v>
      </c>
      <c r="E195" s="162" t="s">
        <v>291</v>
      </c>
      <c r="F195" s="188">
        <f>I195-76</f>
        <v>27</v>
      </c>
      <c r="G195" s="162" t="s">
        <v>291</v>
      </c>
      <c r="H195" s="162" t="s">
        <v>291</v>
      </c>
      <c r="I195" s="188">
        <v>103</v>
      </c>
      <c r="J195" s="160" t="s">
        <v>291</v>
      </c>
      <c r="K195" s="270"/>
    </row>
    <row r="196" spans="1:11" s="145" customFormat="1" ht="30" customHeight="1" outlineLevel="1">
      <c r="A196" s="363"/>
      <c r="B196" s="167" t="s">
        <v>272</v>
      </c>
      <c r="C196" s="160" t="s">
        <v>231</v>
      </c>
      <c r="D196" s="162" t="s">
        <v>291</v>
      </c>
      <c r="E196" s="162" t="s">
        <v>291</v>
      </c>
      <c r="F196" s="188">
        <f>I196-266</f>
        <v>95</v>
      </c>
      <c r="G196" s="162" t="s">
        <v>291</v>
      </c>
      <c r="H196" s="162" t="s">
        <v>291</v>
      </c>
      <c r="I196" s="188">
        <v>361</v>
      </c>
      <c r="J196" s="160" t="s">
        <v>291</v>
      </c>
      <c r="K196" s="270"/>
    </row>
    <row r="197" spans="1:11" s="145" customFormat="1" ht="24.75" customHeight="1" outlineLevel="1">
      <c r="A197" s="363"/>
      <c r="B197" s="155" t="s">
        <v>273</v>
      </c>
      <c r="C197" s="160" t="s">
        <v>231</v>
      </c>
      <c r="D197" s="162" t="s">
        <v>291</v>
      </c>
      <c r="E197" s="162" t="s">
        <v>291</v>
      </c>
      <c r="F197" s="188">
        <f>I197-31</f>
        <v>12</v>
      </c>
      <c r="G197" s="162" t="s">
        <v>291</v>
      </c>
      <c r="H197" s="162" t="s">
        <v>291</v>
      </c>
      <c r="I197" s="188">
        <v>43</v>
      </c>
      <c r="J197" s="160" t="s">
        <v>291</v>
      </c>
      <c r="K197" s="270"/>
    </row>
    <row r="198" spans="1:11" s="145" customFormat="1" ht="24.75" customHeight="1" outlineLevel="1">
      <c r="A198" s="363"/>
      <c r="B198" s="163" t="s">
        <v>274</v>
      </c>
      <c r="C198" s="160" t="s">
        <v>231</v>
      </c>
      <c r="D198" s="162" t="s">
        <v>291</v>
      </c>
      <c r="E198" s="162" t="s">
        <v>291</v>
      </c>
      <c r="F198" s="188">
        <f>I198-94</f>
        <v>17</v>
      </c>
      <c r="G198" s="162" t="s">
        <v>291</v>
      </c>
      <c r="H198" s="162" t="s">
        <v>291</v>
      </c>
      <c r="I198" s="188">
        <v>111</v>
      </c>
      <c r="J198" s="160" t="s">
        <v>291</v>
      </c>
      <c r="K198" s="270"/>
    </row>
    <row r="199" spans="1:11" s="145" customFormat="1" ht="24.75" customHeight="1" outlineLevel="1">
      <c r="A199" s="363"/>
      <c r="B199" s="170" t="s">
        <v>277</v>
      </c>
      <c r="C199" s="160" t="s">
        <v>231</v>
      </c>
      <c r="D199" s="162" t="s">
        <v>291</v>
      </c>
      <c r="E199" s="162" t="s">
        <v>291</v>
      </c>
      <c r="F199" s="188">
        <f>I199-188</f>
        <v>80</v>
      </c>
      <c r="G199" s="162" t="s">
        <v>291</v>
      </c>
      <c r="H199" s="162" t="s">
        <v>291</v>
      </c>
      <c r="I199" s="188">
        <v>268</v>
      </c>
      <c r="J199" s="160" t="s">
        <v>291</v>
      </c>
      <c r="K199" s="270"/>
    </row>
    <row r="200" spans="1:11" s="145" customFormat="1" ht="24.75" customHeight="1" outlineLevel="1">
      <c r="A200" s="363"/>
      <c r="B200" s="175" t="s">
        <v>404</v>
      </c>
      <c r="C200" s="160" t="s">
        <v>231</v>
      </c>
      <c r="D200" s="162" t="s">
        <v>291</v>
      </c>
      <c r="E200" s="162" t="s">
        <v>291</v>
      </c>
      <c r="F200" s="188">
        <f>I200-60</f>
        <v>8</v>
      </c>
      <c r="G200" s="162" t="s">
        <v>291</v>
      </c>
      <c r="H200" s="162" t="s">
        <v>291</v>
      </c>
      <c r="I200" s="188">
        <v>68</v>
      </c>
      <c r="J200" s="160" t="s">
        <v>291</v>
      </c>
      <c r="K200" s="270"/>
    </row>
    <row r="201" spans="1:11" s="145" customFormat="1" ht="21" customHeight="1" outlineLevel="1">
      <c r="A201" s="173">
        <v>5</v>
      </c>
      <c r="B201" s="176" t="s">
        <v>40</v>
      </c>
      <c r="C201" s="190" t="s">
        <v>231</v>
      </c>
      <c r="D201" s="174">
        <v>0</v>
      </c>
      <c r="E201" s="174">
        <v>0</v>
      </c>
      <c r="F201" s="189">
        <v>0</v>
      </c>
      <c r="G201" s="174">
        <v>0</v>
      </c>
      <c r="H201" s="174">
        <v>0</v>
      </c>
      <c r="I201" s="189">
        <v>0</v>
      </c>
      <c r="J201" s="190" t="s">
        <v>291</v>
      </c>
      <c r="K201" s="270"/>
    </row>
    <row r="202" spans="1:11" s="145" customFormat="1" ht="21" customHeight="1" outlineLevel="1">
      <c r="A202" s="173">
        <v>6</v>
      </c>
      <c r="B202" s="176" t="s">
        <v>41</v>
      </c>
      <c r="C202" s="190" t="s">
        <v>231</v>
      </c>
      <c r="D202" s="174">
        <v>0</v>
      </c>
      <c r="E202" s="174">
        <v>0</v>
      </c>
      <c r="F202" s="189">
        <v>0</v>
      </c>
      <c r="G202" s="174">
        <v>0</v>
      </c>
      <c r="H202" s="174">
        <v>0</v>
      </c>
      <c r="I202" s="189">
        <v>0</v>
      </c>
      <c r="J202" s="190" t="s">
        <v>291</v>
      </c>
      <c r="K202" s="270"/>
    </row>
    <row r="203" spans="1:11" s="145" customFormat="1" ht="19.5" customHeight="1" outlineLevel="1">
      <c r="A203" s="271" t="s">
        <v>300</v>
      </c>
      <c r="B203" s="155" t="s">
        <v>297</v>
      </c>
      <c r="C203" s="190" t="s">
        <v>231</v>
      </c>
      <c r="D203" s="162" t="s">
        <v>291</v>
      </c>
      <c r="E203" s="162" t="s">
        <v>291</v>
      </c>
      <c r="F203" s="162" t="s">
        <v>291</v>
      </c>
      <c r="G203" s="162" t="s">
        <v>291</v>
      </c>
      <c r="H203" s="162" t="s">
        <v>291</v>
      </c>
      <c r="I203" s="162" t="s">
        <v>291</v>
      </c>
      <c r="J203" s="162" t="s">
        <v>291</v>
      </c>
      <c r="K203" s="270"/>
    </row>
    <row r="204" spans="1:11" s="144" customFormat="1" ht="24.75" customHeight="1">
      <c r="A204" s="353" t="s">
        <v>278</v>
      </c>
      <c r="B204" s="354"/>
      <c r="C204" s="354"/>
      <c r="D204" s="354"/>
      <c r="E204" s="354"/>
      <c r="F204" s="354"/>
      <c r="G204" s="354"/>
      <c r="H204" s="354"/>
      <c r="I204" s="354"/>
      <c r="J204" s="355"/>
      <c r="K204" s="278"/>
    </row>
    <row r="205" spans="1:11" s="145" customFormat="1" ht="15.75" outlineLevel="1">
      <c r="A205" s="363">
        <v>1</v>
      </c>
      <c r="B205" s="163" t="s">
        <v>16</v>
      </c>
      <c r="C205" s="160" t="s">
        <v>231</v>
      </c>
      <c r="D205" s="156">
        <f>G205-556</f>
        <v>19</v>
      </c>
      <c r="E205" s="156">
        <f>249-228</f>
        <v>21</v>
      </c>
      <c r="F205" s="188">
        <f>D205+E205</f>
        <v>40</v>
      </c>
      <c r="G205" s="156">
        <v>575</v>
      </c>
      <c r="H205" s="156">
        <v>249</v>
      </c>
      <c r="I205" s="188">
        <f>G205+H205</f>
        <v>824</v>
      </c>
      <c r="J205" s="160" t="s">
        <v>291</v>
      </c>
      <c r="K205" s="270"/>
    </row>
    <row r="206" spans="1:11" s="145" customFormat="1" ht="19.5" customHeight="1" outlineLevel="1">
      <c r="A206" s="363"/>
      <c r="B206" s="167" t="s">
        <v>17</v>
      </c>
      <c r="C206" s="160" t="s">
        <v>231</v>
      </c>
      <c r="D206" s="156">
        <f>148-129</f>
        <v>19</v>
      </c>
      <c r="E206" s="156">
        <f>113-92</f>
        <v>21</v>
      </c>
      <c r="F206" s="188">
        <f aca="true" t="shared" si="4" ref="F206:F213">D206+E206</f>
        <v>40</v>
      </c>
      <c r="G206" s="156">
        <v>148</v>
      </c>
      <c r="H206" s="156">
        <v>113</v>
      </c>
      <c r="I206" s="188">
        <f aca="true" t="shared" si="5" ref="I206:I213">G206+H206</f>
        <v>261</v>
      </c>
      <c r="J206" s="160" t="s">
        <v>291</v>
      </c>
      <c r="K206" s="270"/>
    </row>
    <row r="207" spans="1:11" s="145" customFormat="1" ht="19.5" customHeight="1" outlineLevel="1">
      <c r="A207" s="363"/>
      <c r="B207" s="167" t="s">
        <v>18</v>
      </c>
      <c r="C207" s="160" t="s">
        <v>231</v>
      </c>
      <c r="D207" s="156">
        <f>127-111</f>
        <v>16</v>
      </c>
      <c r="E207" s="156">
        <f>95-78</f>
        <v>17</v>
      </c>
      <c r="F207" s="188">
        <f t="shared" si="4"/>
        <v>33</v>
      </c>
      <c r="G207" s="156">
        <v>127</v>
      </c>
      <c r="H207" s="156">
        <v>95</v>
      </c>
      <c r="I207" s="188">
        <f t="shared" si="5"/>
        <v>222</v>
      </c>
      <c r="J207" s="160" t="s">
        <v>291</v>
      </c>
      <c r="K207" s="270"/>
    </row>
    <row r="208" spans="1:11" s="145" customFormat="1" ht="15.75" outlineLevel="1">
      <c r="A208" s="363"/>
      <c r="B208" s="167" t="s">
        <v>19</v>
      </c>
      <c r="C208" s="160" t="s">
        <v>231</v>
      </c>
      <c r="D208" s="156">
        <f>515-498</f>
        <v>17</v>
      </c>
      <c r="E208" s="156">
        <f>198-181</f>
        <v>17</v>
      </c>
      <c r="F208" s="188">
        <f t="shared" si="4"/>
        <v>34</v>
      </c>
      <c r="G208" s="156">
        <v>515</v>
      </c>
      <c r="H208" s="156">
        <v>198</v>
      </c>
      <c r="I208" s="188">
        <f t="shared" si="5"/>
        <v>713</v>
      </c>
      <c r="J208" s="160" t="s">
        <v>291</v>
      </c>
      <c r="K208" s="270"/>
    </row>
    <row r="209" spans="1:11" s="145" customFormat="1" ht="19.5" customHeight="1" outlineLevel="1">
      <c r="A209" s="363"/>
      <c r="B209" s="163" t="s">
        <v>20</v>
      </c>
      <c r="C209" s="160" t="s">
        <v>231</v>
      </c>
      <c r="D209" s="156">
        <f>29-28</f>
        <v>1</v>
      </c>
      <c r="E209" s="156">
        <f>0</f>
        <v>0</v>
      </c>
      <c r="F209" s="188">
        <f t="shared" si="4"/>
        <v>1</v>
      </c>
      <c r="G209" s="156">
        <v>29</v>
      </c>
      <c r="H209" s="156">
        <v>10</v>
      </c>
      <c r="I209" s="188">
        <f t="shared" si="5"/>
        <v>39</v>
      </c>
      <c r="J209" s="160" t="s">
        <v>291</v>
      </c>
      <c r="K209" s="270"/>
    </row>
    <row r="210" spans="1:11" s="145" customFormat="1" ht="19.5" customHeight="1" outlineLevel="1">
      <c r="A210" s="363"/>
      <c r="B210" s="163" t="s">
        <v>21</v>
      </c>
      <c r="C210" s="160" t="s">
        <v>231</v>
      </c>
      <c r="D210" s="156">
        <f>149-141</f>
        <v>8</v>
      </c>
      <c r="E210" s="156">
        <f>30-27</f>
        <v>3</v>
      </c>
      <c r="F210" s="188">
        <f t="shared" si="4"/>
        <v>11</v>
      </c>
      <c r="G210" s="156">
        <v>149</v>
      </c>
      <c r="H210" s="156">
        <v>30</v>
      </c>
      <c r="I210" s="188">
        <f t="shared" si="5"/>
        <v>179</v>
      </c>
      <c r="J210" s="160" t="s">
        <v>291</v>
      </c>
      <c r="K210" s="270"/>
    </row>
    <row r="211" spans="1:11" s="145" customFormat="1" ht="19.5" customHeight="1" outlineLevel="1">
      <c r="A211" s="363"/>
      <c r="B211" s="163" t="s">
        <v>22</v>
      </c>
      <c r="C211" s="160" t="s">
        <v>231</v>
      </c>
      <c r="D211" s="156">
        <f>488-472</f>
        <v>16</v>
      </c>
      <c r="E211" s="156">
        <f>177-160</f>
        <v>17</v>
      </c>
      <c r="F211" s="188">
        <f t="shared" si="4"/>
        <v>33</v>
      </c>
      <c r="G211" s="156">
        <v>488</v>
      </c>
      <c r="H211" s="156">
        <v>177</v>
      </c>
      <c r="I211" s="188">
        <f t="shared" si="5"/>
        <v>665</v>
      </c>
      <c r="J211" s="160" t="s">
        <v>291</v>
      </c>
      <c r="K211" s="270"/>
    </row>
    <row r="212" spans="1:11" s="145" customFormat="1" ht="19.5" customHeight="1" outlineLevel="1">
      <c r="A212" s="363"/>
      <c r="B212" s="167" t="s">
        <v>23</v>
      </c>
      <c r="C212" s="160" t="s">
        <v>231</v>
      </c>
      <c r="D212" s="156">
        <f>115-115</f>
        <v>0</v>
      </c>
      <c r="E212" s="156">
        <v>0</v>
      </c>
      <c r="F212" s="188">
        <f t="shared" si="4"/>
        <v>0</v>
      </c>
      <c r="G212" s="156">
        <v>115</v>
      </c>
      <c r="H212" s="156">
        <v>41</v>
      </c>
      <c r="I212" s="188">
        <f t="shared" si="5"/>
        <v>156</v>
      </c>
      <c r="J212" s="160" t="s">
        <v>291</v>
      </c>
      <c r="K212" s="270"/>
    </row>
    <row r="213" spans="1:11" s="145" customFormat="1" ht="24" customHeight="1" outlineLevel="1">
      <c r="A213" s="363"/>
      <c r="B213" s="167" t="s">
        <v>24</v>
      </c>
      <c r="C213" s="160" t="s">
        <v>231</v>
      </c>
      <c r="D213" s="156">
        <v>0</v>
      </c>
      <c r="E213" s="156">
        <v>0</v>
      </c>
      <c r="F213" s="188">
        <f t="shared" si="4"/>
        <v>0</v>
      </c>
      <c r="G213" s="156">
        <v>105</v>
      </c>
      <c r="H213" s="156">
        <v>12</v>
      </c>
      <c r="I213" s="188">
        <f t="shared" si="5"/>
        <v>117</v>
      </c>
      <c r="J213" s="160" t="s">
        <v>291</v>
      </c>
      <c r="K213" s="270"/>
    </row>
    <row r="214" spans="1:11" s="145" customFormat="1" ht="19.5" customHeight="1" outlineLevel="1">
      <c r="A214" s="272">
        <v>2</v>
      </c>
      <c r="B214" s="163" t="s">
        <v>25</v>
      </c>
      <c r="C214" s="160">
        <v>15</v>
      </c>
      <c r="D214" s="162" t="s">
        <v>291</v>
      </c>
      <c r="E214" s="162" t="s">
        <v>291</v>
      </c>
      <c r="F214" s="157">
        <v>0</v>
      </c>
      <c r="G214" s="162" t="s">
        <v>291</v>
      </c>
      <c r="H214" s="162" t="s">
        <v>291</v>
      </c>
      <c r="I214" s="157">
        <v>52</v>
      </c>
      <c r="J214" s="290">
        <f>I214/C214*100</f>
        <v>346.6666666666667</v>
      </c>
      <c r="K214" s="270"/>
    </row>
    <row r="215" spans="1:11" s="145" customFormat="1" ht="19.5" customHeight="1" outlineLevel="1">
      <c r="A215" s="271" t="s">
        <v>300</v>
      </c>
      <c r="B215" s="155" t="s">
        <v>297</v>
      </c>
      <c r="C215" s="160" t="s">
        <v>231</v>
      </c>
      <c r="D215" s="162" t="s">
        <v>291</v>
      </c>
      <c r="E215" s="162" t="s">
        <v>291</v>
      </c>
      <c r="F215" s="162" t="s">
        <v>291</v>
      </c>
      <c r="G215" s="162" t="s">
        <v>291</v>
      </c>
      <c r="H215" s="162" t="s">
        <v>291</v>
      </c>
      <c r="I215" s="162" t="s">
        <v>291</v>
      </c>
      <c r="J215" s="162" t="s">
        <v>291</v>
      </c>
      <c r="K215" s="270"/>
    </row>
    <row r="216" spans="1:11" s="145" customFormat="1" ht="19.5" customHeight="1" outlineLevel="1">
      <c r="A216" s="353" t="s">
        <v>415</v>
      </c>
      <c r="B216" s="354"/>
      <c r="C216" s="354"/>
      <c r="D216" s="354"/>
      <c r="E216" s="354"/>
      <c r="F216" s="354"/>
      <c r="G216" s="354"/>
      <c r="H216" s="354"/>
      <c r="I216" s="354"/>
      <c r="J216" s="355"/>
      <c r="K216" s="270"/>
    </row>
    <row r="217" spans="1:11" s="145" customFormat="1" ht="19.5" customHeight="1" outlineLevel="1">
      <c r="A217" s="364">
        <v>1</v>
      </c>
      <c r="B217" s="163" t="s">
        <v>348</v>
      </c>
      <c r="C217" s="188">
        <v>28398</v>
      </c>
      <c r="D217" s="157">
        <f aca="true" t="shared" si="6" ref="D217:I225">D149+D175+D205</f>
        <v>2131</v>
      </c>
      <c r="E217" s="157">
        <f t="shared" si="6"/>
        <v>1623</v>
      </c>
      <c r="F217" s="157">
        <f t="shared" si="6"/>
        <v>3754</v>
      </c>
      <c r="G217" s="157">
        <f t="shared" si="6"/>
        <v>16350</v>
      </c>
      <c r="H217" s="157">
        <f t="shared" si="6"/>
        <v>11314</v>
      </c>
      <c r="I217" s="157">
        <f t="shared" si="6"/>
        <v>27664</v>
      </c>
      <c r="J217" s="251">
        <f>I217/C217*100</f>
        <v>97.41531093738996</v>
      </c>
      <c r="K217" s="270"/>
    </row>
    <row r="218" spans="1:11" s="145" customFormat="1" ht="19.5" customHeight="1" outlineLevel="1">
      <c r="A218" s="365"/>
      <c r="B218" s="167" t="s">
        <v>398</v>
      </c>
      <c r="C218" s="188">
        <v>9932</v>
      </c>
      <c r="D218" s="157">
        <f t="shared" si="6"/>
        <v>821</v>
      </c>
      <c r="E218" s="157">
        <f t="shared" si="6"/>
        <v>562</v>
      </c>
      <c r="F218" s="157">
        <f t="shared" si="6"/>
        <v>1383</v>
      </c>
      <c r="G218" s="157">
        <f t="shared" si="6"/>
        <v>6906</v>
      </c>
      <c r="H218" s="157">
        <f t="shared" si="6"/>
        <v>4436</v>
      </c>
      <c r="I218" s="157">
        <f t="shared" si="6"/>
        <v>11342</v>
      </c>
      <c r="J218" s="251">
        <f aca="true" t="shared" si="7" ref="J218:J233">I218/C218*100</f>
        <v>114.19653644784535</v>
      </c>
      <c r="K218" s="270"/>
    </row>
    <row r="219" spans="1:11" s="145" customFormat="1" ht="19.5" customHeight="1" outlineLevel="1">
      <c r="A219" s="365"/>
      <c r="B219" s="167" t="s">
        <v>399</v>
      </c>
      <c r="C219" s="188">
        <v>4155</v>
      </c>
      <c r="D219" s="157">
        <f t="shared" si="6"/>
        <v>385</v>
      </c>
      <c r="E219" s="157">
        <f t="shared" si="6"/>
        <v>225</v>
      </c>
      <c r="F219" s="157">
        <f t="shared" si="6"/>
        <v>610</v>
      </c>
      <c r="G219" s="157">
        <f t="shared" si="6"/>
        <v>2902</v>
      </c>
      <c r="H219" s="157">
        <f t="shared" si="6"/>
        <v>1889</v>
      </c>
      <c r="I219" s="157">
        <f t="shared" si="6"/>
        <v>4791</v>
      </c>
      <c r="J219" s="251">
        <f t="shared" si="7"/>
        <v>115.30685920577616</v>
      </c>
      <c r="K219" s="270"/>
    </row>
    <row r="220" spans="1:11" s="145" customFormat="1" ht="19.5" customHeight="1" outlineLevel="1">
      <c r="A220" s="365"/>
      <c r="B220" s="167" t="s">
        <v>267</v>
      </c>
      <c r="C220" s="188">
        <v>9998</v>
      </c>
      <c r="D220" s="157">
        <f t="shared" si="6"/>
        <v>1477</v>
      </c>
      <c r="E220" s="157">
        <f t="shared" si="6"/>
        <v>1021</v>
      </c>
      <c r="F220" s="157">
        <f t="shared" si="6"/>
        <v>2498</v>
      </c>
      <c r="G220" s="157">
        <f t="shared" si="6"/>
        <v>9674</v>
      </c>
      <c r="H220" s="157">
        <f t="shared" si="6"/>
        <v>6407</v>
      </c>
      <c r="I220" s="157">
        <f t="shared" si="6"/>
        <v>16081</v>
      </c>
      <c r="J220" s="251">
        <f t="shared" si="7"/>
        <v>160.84216843368674</v>
      </c>
      <c r="K220" s="270"/>
    </row>
    <row r="221" spans="1:11" s="145" customFormat="1" ht="19.5" customHeight="1" outlineLevel="1">
      <c r="A221" s="365"/>
      <c r="B221" s="163" t="s">
        <v>268</v>
      </c>
      <c r="C221" s="188">
        <v>1011</v>
      </c>
      <c r="D221" s="157">
        <f t="shared" si="6"/>
        <v>230</v>
      </c>
      <c r="E221" s="157">
        <f t="shared" si="6"/>
        <v>145</v>
      </c>
      <c r="F221" s="157">
        <f t="shared" si="6"/>
        <v>375</v>
      </c>
      <c r="G221" s="157">
        <f t="shared" si="6"/>
        <v>1383</v>
      </c>
      <c r="H221" s="157">
        <f t="shared" si="6"/>
        <v>801</v>
      </c>
      <c r="I221" s="157">
        <f t="shared" si="6"/>
        <v>2184</v>
      </c>
      <c r="J221" s="251">
        <f t="shared" si="7"/>
        <v>216.02373887240356</v>
      </c>
      <c r="K221" s="270"/>
    </row>
    <row r="222" spans="1:11" s="145" customFormat="1" ht="19.5" customHeight="1" outlineLevel="1">
      <c r="A222" s="365"/>
      <c r="B222" s="163" t="s">
        <v>269</v>
      </c>
      <c r="C222" s="188">
        <v>1614</v>
      </c>
      <c r="D222" s="157">
        <f t="shared" si="6"/>
        <v>846</v>
      </c>
      <c r="E222" s="157">
        <f t="shared" si="6"/>
        <v>579</v>
      </c>
      <c r="F222" s="157">
        <f t="shared" si="6"/>
        <v>1425</v>
      </c>
      <c r="G222" s="157">
        <f t="shared" si="6"/>
        <v>4665</v>
      </c>
      <c r="H222" s="157">
        <f t="shared" si="6"/>
        <v>2655</v>
      </c>
      <c r="I222" s="157">
        <f t="shared" si="6"/>
        <v>7320</v>
      </c>
      <c r="J222" s="251">
        <f t="shared" si="7"/>
        <v>453.53159851301115</v>
      </c>
      <c r="K222" s="270"/>
    </row>
    <row r="223" spans="1:11" s="145" customFormat="1" ht="19.5" customHeight="1" outlineLevel="1">
      <c r="A223" s="365"/>
      <c r="B223" s="163" t="s">
        <v>270</v>
      </c>
      <c r="C223" s="188">
        <v>4024</v>
      </c>
      <c r="D223" s="157">
        <f t="shared" si="6"/>
        <v>820</v>
      </c>
      <c r="E223" s="157">
        <f t="shared" si="6"/>
        <v>621</v>
      </c>
      <c r="F223" s="157">
        <f t="shared" si="6"/>
        <v>1441</v>
      </c>
      <c r="G223" s="157">
        <f t="shared" si="6"/>
        <v>6088</v>
      </c>
      <c r="H223" s="157">
        <f t="shared" si="6"/>
        <v>4342</v>
      </c>
      <c r="I223" s="157">
        <f t="shared" si="6"/>
        <v>10430</v>
      </c>
      <c r="J223" s="251">
        <f t="shared" si="7"/>
        <v>259.1948310139165</v>
      </c>
      <c r="K223" s="270"/>
    </row>
    <row r="224" spans="1:11" s="145" customFormat="1" ht="19.5" customHeight="1" outlineLevel="1">
      <c r="A224" s="365"/>
      <c r="B224" s="167" t="s">
        <v>400</v>
      </c>
      <c r="C224" s="188">
        <v>4780</v>
      </c>
      <c r="D224" s="157">
        <f t="shared" si="6"/>
        <v>361</v>
      </c>
      <c r="E224" s="157">
        <f t="shared" si="6"/>
        <v>467</v>
      </c>
      <c r="F224" s="157">
        <f t="shared" si="6"/>
        <v>828</v>
      </c>
      <c r="G224" s="157">
        <f t="shared" si="6"/>
        <v>1899</v>
      </c>
      <c r="H224" s="157">
        <f t="shared" si="6"/>
        <v>1836</v>
      </c>
      <c r="I224" s="157">
        <f t="shared" si="6"/>
        <v>3735</v>
      </c>
      <c r="J224" s="251">
        <f t="shared" si="7"/>
        <v>78.13807531380753</v>
      </c>
      <c r="K224" s="270"/>
    </row>
    <row r="225" spans="1:11" s="145" customFormat="1" ht="19.5" customHeight="1" outlineLevel="1">
      <c r="A225" s="366"/>
      <c r="B225" s="167" t="s">
        <v>401</v>
      </c>
      <c r="C225" s="188">
        <v>8587</v>
      </c>
      <c r="D225" s="157">
        <f t="shared" si="6"/>
        <v>2014</v>
      </c>
      <c r="E225" s="157">
        <f t="shared" si="6"/>
        <v>1562</v>
      </c>
      <c r="F225" s="157">
        <f t="shared" si="6"/>
        <v>3576</v>
      </c>
      <c r="G225" s="157">
        <f t="shared" si="6"/>
        <v>7599</v>
      </c>
      <c r="H225" s="157">
        <f t="shared" si="6"/>
        <v>5027</v>
      </c>
      <c r="I225" s="157">
        <f t="shared" si="6"/>
        <v>12626</v>
      </c>
      <c r="J225" s="251">
        <f t="shared" si="7"/>
        <v>147.03621753813906</v>
      </c>
      <c r="K225" s="270"/>
    </row>
    <row r="226" spans="1:11" s="145" customFormat="1" ht="19.5" customHeight="1" outlineLevel="1">
      <c r="A226" s="364">
        <v>2</v>
      </c>
      <c r="B226" s="155" t="s">
        <v>175</v>
      </c>
      <c r="C226" s="188">
        <v>3405</v>
      </c>
      <c r="D226" s="157">
        <f aca="true" t="shared" si="8" ref="D226:I232">D159+D184</f>
        <v>364</v>
      </c>
      <c r="E226" s="157">
        <f t="shared" si="8"/>
        <v>485</v>
      </c>
      <c r="F226" s="157">
        <f t="shared" si="8"/>
        <v>849</v>
      </c>
      <c r="G226" s="157">
        <f t="shared" si="8"/>
        <v>1959</v>
      </c>
      <c r="H226" s="157">
        <f t="shared" si="8"/>
        <v>2731</v>
      </c>
      <c r="I226" s="157">
        <f t="shared" si="8"/>
        <v>4690</v>
      </c>
      <c r="J226" s="251">
        <f t="shared" si="7"/>
        <v>137.73861967694566</v>
      </c>
      <c r="K226" s="270"/>
    </row>
    <row r="227" spans="1:11" s="145" customFormat="1" ht="19.5" customHeight="1" outlineLevel="1">
      <c r="A227" s="365"/>
      <c r="B227" s="164" t="s">
        <v>398</v>
      </c>
      <c r="C227" s="188">
        <v>726</v>
      </c>
      <c r="D227" s="157">
        <f t="shared" si="8"/>
        <v>78</v>
      </c>
      <c r="E227" s="157">
        <f t="shared" si="8"/>
        <v>133</v>
      </c>
      <c r="F227" s="157">
        <f t="shared" si="8"/>
        <v>211</v>
      </c>
      <c r="G227" s="157">
        <f t="shared" si="8"/>
        <v>420</v>
      </c>
      <c r="H227" s="157">
        <f t="shared" si="8"/>
        <v>588</v>
      </c>
      <c r="I227" s="157">
        <f t="shared" si="8"/>
        <v>1008</v>
      </c>
      <c r="J227" s="251">
        <f t="shared" si="7"/>
        <v>138.84297520661158</v>
      </c>
      <c r="K227" s="270"/>
    </row>
    <row r="228" spans="1:11" s="145" customFormat="1" ht="19.5" customHeight="1" outlineLevel="1">
      <c r="A228" s="365"/>
      <c r="B228" s="164" t="s">
        <v>267</v>
      </c>
      <c r="C228" s="188">
        <v>1000</v>
      </c>
      <c r="D228" s="157">
        <f t="shared" si="8"/>
        <v>249</v>
      </c>
      <c r="E228" s="157">
        <f t="shared" si="8"/>
        <v>316</v>
      </c>
      <c r="F228" s="157">
        <f t="shared" si="8"/>
        <v>565</v>
      </c>
      <c r="G228" s="157">
        <f t="shared" si="8"/>
        <v>1102</v>
      </c>
      <c r="H228" s="157">
        <f t="shared" si="8"/>
        <v>1559</v>
      </c>
      <c r="I228" s="157">
        <f t="shared" si="8"/>
        <v>2661</v>
      </c>
      <c r="J228" s="251">
        <f t="shared" si="7"/>
        <v>266.1</v>
      </c>
      <c r="K228" s="270"/>
    </row>
    <row r="229" spans="1:11" s="145" customFormat="1" ht="19.5" customHeight="1" outlineLevel="1">
      <c r="A229" s="365"/>
      <c r="B229" s="155" t="s">
        <v>268</v>
      </c>
      <c r="C229" s="188">
        <v>101</v>
      </c>
      <c r="D229" s="157">
        <f t="shared" si="8"/>
        <v>23</v>
      </c>
      <c r="E229" s="157">
        <f t="shared" si="8"/>
        <v>31</v>
      </c>
      <c r="F229" s="157">
        <f t="shared" si="8"/>
        <v>54</v>
      </c>
      <c r="G229" s="157">
        <f t="shared" si="8"/>
        <v>80</v>
      </c>
      <c r="H229" s="157">
        <f t="shared" si="8"/>
        <v>86</v>
      </c>
      <c r="I229" s="157">
        <f t="shared" si="8"/>
        <v>166</v>
      </c>
      <c r="J229" s="251">
        <f t="shared" si="7"/>
        <v>164.35643564356434</v>
      </c>
      <c r="K229" s="270"/>
    </row>
    <row r="230" spans="1:11" s="145" customFormat="1" ht="19.5" customHeight="1" outlineLevel="1">
      <c r="A230" s="365"/>
      <c r="B230" s="155" t="s">
        <v>269</v>
      </c>
      <c r="C230" s="188">
        <v>162</v>
      </c>
      <c r="D230" s="157">
        <f t="shared" si="8"/>
        <v>124</v>
      </c>
      <c r="E230" s="157">
        <f t="shared" si="8"/>
        <v>162</v>
      </c>
      <c r="F230" s="157">
        <f t="shared" si="8"/>
        <v>286</v>
      </c>
      <c r="G230" s="157">
        <f t="shared" si="8"/>
        <v>533</v>
      </c>
      <c r="H230" s="157">
        <f t="shared" si="8"/>
        <v>758</v>
      </c>
      <c r="I230" s="157">
        <f t="shared" si="8"/>
        <v>1291</v>
      </c>
      <c r="J230" s="251">
        <f t="shared" si="7"/>
        <v>796.9135802469136</v>
      </c>
      <c r="K230" s="270"/>
    </row>
    <row r="231" spans="1:11" s="145" customFormat="1" ht="19.5" customHeight="1" outlineLevel="1">
      <c r="A231" s="365"/>
      <c r="B231" s="155" t="s">
        <v>271</v>
      </c>
      <c r="C231" s="188">
        <v>403</v>
      </c>
      <c r="D231" s="157">
        <f t="shared" si="8"/>
        <v>152</v>
      </c>
      <c r="E231" s="157">
        <f t="shared" si="8"/>
        <v>198</v>
      </c>
      <c r="F231" s="157">
        <f>F164+F189</f>
        <v>350</v>
      </c>
      <c r="G231" s="157">
        <f t="shared" si="8"/>
        <v>713</v>
      </c>
      <c r="H231" s="157">
        <f t="shared" si="8"/>
        <v>1052</v>
      </c>
      <c r="I231" s="157">
        <f t="shared" si="8"/>
        <v>1765</v>
      </c>
      <c r="J231" s="251">
        <f t="shared" si="7"/>
        <v>437.9652605459057</v>
      </c>
      <c r="K231" s="270"/>
    </row>
    <row r="232" spans="1:11" s="145" customFormat="1" ht="19.5" customHeight="1" outlineLevel="1">
      <c r="A232" s="366"/>
      <c r="B232" s="164" t="s">
        <v>400</v>
      </c>
      <c r="C232" s="188">
        <v>306</v>
      </c>
      <c r="D232" s="157">
        <f t="shared" si="8"/>
        <v>33</v>
      </c>
      <c r="E232" s="157">
        <f t="shared" si="8"/>
        <v>87</v>
      </c>
      <c r="F232" s="157">
        <f t="shared" si="8"/>
        <v>120</v>
      </c>
      <c r="G232" s="157">
        <f t="shared" si="8"/>
        <v>141</v>
      </c>
      <c r="H232" s="157">
        <f t="shared" si="8"/>
        <v>316</v>
      </c>
      <c r="I232" s="157">
        <f t="shared" si="8"/>
        <v>457</v>
      </c>
      <c r="J232" s="251">
        <f t="shared" si="7"/>
        <v>149.34640522875816</v>
      </c>
      <c r="K232" s="270"/>
    </row>
    <row r="233" spans="1:11" s="145" customFormat="1" ht="19.5" customHeight="1" outlineLevel="1">
      <c r="A233" s="271">
        <v>3</v>
      </c>
      <c r="B233" s="163" t="s">
        <v>373</v>
      </c>
      <c r="C233" s="188">
        <v>3358</v>
      </c>
      <c r="D233" s="179" t="s">
        <v>291</v>
      </c>
      <c r="E233" s="179" t="s">
        <v>291</v>
      </c>
      <c r="F233" s="157">
        <f>F166+F194</f>
        <v>897</v>
      </c>
      <c r="G233" s="179" t="s">
        <v>291</v>
      </c>
      <c r="H233" s="179" t="s">
        <v>291</v>
      </c>
      <c r="I233" s="157">
        <f>I166+I194</f>
        <v>4952</v>
      </c>
      <c r="J233" s="251">
        <f t="shared" si="7"/>
        <v>147.4687313877308</v>
      </c>
      <c r="K233" s="270"/>
    </row>
    <row r="234" spans="1:11" s="145" customFormat="1" ht="24.75" customHeight="1">
      <c r="A234" s="357" t="s">
        <v>349</v>
      </c>
      <c r="B234" s="358"/>
      <c r="C234" s="358"/>
      <c r="D234" s="358"/>
      <c r="E234" s="358"/>
      <c r="F234" s="358"/>
      <c r="G234" s="358"/>
      <c r="H234" s="358"/>
      <c r="I234" s="358"/>
      <c r="J234" s="359"/>
      <c r="K234" s="270"/>
    </row>
    <row r="235" spans="1:11" s="144" customFormat="1" ht="24.75" customHeight="1">
      <c r="A235" s="353" t="s">
        <v>279</v>
      </c>
      <c r="B235" s="354"/>
      <c r="C235" s="354"/>
      <c r="D235" s="354"/>
      <c r="E235" s="354"/>
      <c r="F235" s="354"/>
      <c r="G235" s="354"/>
      <c r="H235" s="354"/>
      <c r="I235" s="354"/>
      <c r="J235" s="355"/>
      <c r="K235" s="278"/>
    </row>
    <row r="236" spans="1:11" s="145" customFormat="1" ht="30" customHeight="1" hidden="1" outlineLevel="1">
      <c r="A236" s="363">
        <v>1</v>
      </c>
      <c r="B236" s="155" t="s">
        <v>350</v>
      </c>
      <c r="C236" s="156"/>
      <c r="D236" s="157"/>
      <c r="E236" s="158"/>
      <c r="F236" s="158"/>
      <c r="G236" s="157"/>
      <c r="H236" s="158"/>
      <c r="I236" s="158"/>
      <c r="J236" s="162"/>
      <c r="K236" s="270"/>
    </row>
    <row r="237" spans="1:11" s="145" customFormat="1" ht="19.5" customHeight="1" hidden="1" outlineLevel="1">
      <c r="A237" s="363"/>
      <c r="B237" s="167" t="s">
        <v>405</v>
      </c>
      <c r="C237" s="168"/>
      <c r="D237" s="157"/>
      <c r="E237" s="158"/>
      <c r="F237" s="158"/>
      <c r="G237" s="157"/>
      <c r="H237" s="158"/>
      <c r="I237" s="158"/>
      <c r="J237" s="162"/>
      <c r="K237" s="270"/>
    </row>
    <row r="238" spans="1:11" s="145" customFormat="1" ht="30" customHeight="1" hidden="1" outlineLevel="1">
      <c r="A238" s="272">
        <v>2</v>
      </c>
      <c r="B238" s="155" t="s">
        <v>406</v>
      </c>
      <c r="C238" s="156"/>
      <c r="D238" s="157"/>
      <c r="E238" s="158"/>
      <c r="F238" s="158"/>
      <c r="G238" s="157"/>
      <c r="H238" s="158"/>
      <c r="I238" s="158"/>
      <c r="J238" s="162"/>
      <c r="K238" s="270"/>
    </row>
    <row r="239" spans="1:11" s="145" customFormat="1" ht="31.5" customHeight="1" hidden="1" outlineLevel="1">
      <c r="A239" s="273">
        <v>3</v>
      </c>
      <c r="B239" s="155" t="s">
        <v>157</v>
      </c>
      <c r="C239" s="160"/>
      <c r="D239" s="157"/>
      <c r="E239" s="157"/>
      <c r="F239" s="157"/>
      <c r="G239" s="157"/>
      <c r="H239" s="157"/>
      <c r="I239" s="157"/>
      <c r="J239" s="162"/>
      <c r="K239" s="270"/>
    </row>
    <row r="240" spans="1:11" s="145" customFormat="1" ht="23.25" customHeight="1" hidden="1" outlineLevel="1">
      <c r="A240" s="271" t="s">
        <v>300</v>
      </c>
      <c r="B240" s="155" t="s">
        <v>297</v>
      </c>
      <c r="C240" s="161"/>
      <c r="D240" s="157"/>
      <c r="E240" s="157"/>
      <c r="F240" s="157"/>
      <c r="G240" s="157"/>
      <c r="H240" s="157"/>
      <c r="I240" s="157"/>
      <c r="J240" s="158"/>
      <c r="K240" s="270"/>
    </row>
    <row r="241" spans="1:11" s="144" customFormat="1" ht="24.75" customHeight="1" collapsed="1">
      <c r="A241" s="353" t="s">
        <v>280</v>
      </c>
      <c r="B241" s="354"/>
      <c r="C241" s="354"/>
      <c r="D241" s="354"/>
      <c r="E241" s="354"/>
      <c r="F241" s="354"/>
      <c r="G241" s="354"/>
      <c r="H241" s="354"/>
      <c r="I241" s="354"/>
      <c r="J241" s="355"/>
      <c r="K241" s="278"/>
    </row>
    <row r="242" spans="1:11" s="145" customFormat="1" ht="25.5" customHeight="1" hidden="1" outlineLevel="1">
      <c r="A242" s="272">
        <v>1</v>
      </c>
      <c r="B242" s="163" t="s">
        <v>281</v>
      </c>
      <c r="C242" s="156"/>
      <c r="D242" s="156"/>
      <c r="E242" s="156"/>
      <c r="F242" s="156"/>
      <c r="G242" s="156"/>
      <c r="H242" s="156"/>
      <c r="I242" s="156"/>
      <c r="J242" s="162"/>
      <c r="K242" s="270"/>
    </row>
    <row r="243" spans="1:11" s="145" customFormat="1" ht="30" customHeight="1" hidden="1" outlineLevel="1">
      <c r="A243" s="272">
        <v>2</v>
      </c>
      <c r="B243" s="163" t="s">
        <v>158</v>
      </c>
      <c r="C243" s="156"/>
      <c r="D243" s="162" t="s">
        <v>291</v>
      </c>
      <c r="E243" s="162" t="s">
        <v>291</v>
      </c>
      <c r="F243" s="156"/>
      <c r="G243" s="162" t="s">
        <v>291</v>
      </c>
      <c r="H243" s="162" t="s">
        <v>291</v>
      </c>
      <c r="I243" s="156"/>
      <c r="J243" s="162"/>
      <c r="K243" s="270"/>
    </row>
    <row r="244" spans="1:11" s="145" customFormat="1" ht="28.5" customHeight="1" hidden="1" outlineLevel="1">
      <c r="A244" s="272">
        <v>3</v>
      </c>
      <c r="B244" s="155" t="s">
        <v>159</v>
      </c>
      <c r="C244" s="156"/>
      <c r="D244" s="162" t="s">
        <v>291</v>
      </c>
      <c r="E244" s="162" t="s">
        <v>291</v>
      </c>
      <c r="F244" s="156"/>
      <c r="G244" s="162" t="s">
        <v>291</v>
      </c>
      <c r="H244" s="162" t="s">
        <v>291</v>
      </c>
      <c r="I244" s="156"/>
      <c r="J244" s="162"/>
      <c r="K244" s="270"/>
    </row>
    <row r="245" spans="1:11" s="145" customFormat="1" ht="18.75" customHeight="1" hidden="1" outlineLevel="1">
      <c r="A245" s="272">
        <v>4</v>
      </c>
      <c r="B245" s="155" t="s">
        <v>190</v>
      </c>
      <c r="C245" s="156"/>
      <c r="D245" s="156"/>
      <c r="E245" s="156"/>
      <c r="F245" s="156"/>
      <c r="G245" s="156"/>
      <c r="H245" s="156"/>
      <c r="I245" s="156"/>
      <c r="J245" s="162"/>
      <c r="K245" s="270"/>
    </row>
    <row r="246" spans="1:11" s="145" customFormat="1" ht="24.75" customHeight="1" hidden="1" outlineLevel="1">
      <c r="A246" s="272">
        <v>5</v>
      </c>
      <c r="B246" s="155" t="s">
        <v>160</v>
      </c>
      <c r="C246" s="156"/>
      <c r="D246" s="162" t="s">
        <v>291</v>
      </c>
      <c r="E246" s="162" t="s">
        <v>291</v>
      </c>
      <c r="F246" s="156"/>
      <c r="G246" s="162" t="s">
        <v>291</v>
      </c>
      <c r="H246" s="162" t="s">
        <v>291</v>
      </c>
      <c r="I246" s="156"/>
      <c r="J246" s="162"/>
      <c r="K246" s="270"/>
    </row>
    <row r="247" spans="1:11" s="145" customFormat="1" ht="19.5" customHeight="1" hidden="1" outlineLevel="1">
      <c r="A247" s="271" t="s">
        <v>300</v>
      </c>
      <c r="B247" s="155" t="s">
        <v>297</v>
      </c>
      <c r="C247" s="156"/>
      <c r="D247" s="156"/>
      <c r="E247" s="156"/>
      <c r="F247" s="156"/>
      <c r="G247" s="156"/>
      <c r="H247" s="156"/>
      <c r="I247" s="156"/>
      <c r="J247" s="158"/>
      <c r="K247" s="270"/>
    </row>
    <row r="248" spans="1:11" s="145" customFormat="1" ht="19.5" customHeight="1" collapsed="1">
      <c r="A248" s="353" t="s">
        <v>282</v>
      </c>
      <c r="B248" s="354"/>
      <c r="C248" s="354"/>
      <c r="D248" s="354"/>
      <c r="E248" s="354"/>
      <c r="F248" s="354"/>
      <c r="G248" s="354"/>
      <c r="H248" s="354"/>
      <c r="I248" s="354"/>
      <c r="J248" s="355"/>
      <c r="K248" s="270"/>
    </row>
    <row r="249" spans="1:11" s="145" customFormat="1" ht="31.5" hidden="1" outlineLevel="1">
      <c r="A249" s="272">
        <v>1</v>
      </c>
      <c r="B249" s="155" t="s">
        <v>26</v>
      </c>
      <c r="C249" s="156"/>
      <c r="D249" s="162" t="s">
        <v>291</v>
      </c>
      <c r="E249" s="162" t="s">
        <v>291</v>
      </c>
      <c r="F249" s="158"/>
      <c r="G249" s="162" t="s">
        <v>291</v>
      </c>
      <c r="H249" s="162" t="s">
        <v>291</v>
      </c>
      <c r="I249" s="158"/>
      <c r="J249" s="162"/>
      <c r="K249" s="270"/>
    </row>
    <row r="250" spans="1:11" s="145" customFormat="1" ht="19.5" customHeight="1" hidden="1" outlineLevel="1">
      <c r="A250" s="271" t="s">
        <v>300</v>
      </c>
      <c r="B250" s="155" t="s">
        <v>297</v>
      </c>
      <c r="C250" s="156"/>
      <c r="D250" s="156"/>
      <c r="E250" s="156"/>
      <c r="F250" s="156"/>
      <c r="G250" s="156"/>
      <c r="H250" s="156"/>
      <c r="I250" s="158"/>
      <c r="J250" s="158"/>
      <c r="K250" s="270"/>
    </row>
    <row r="251" spans="1:11" s="145" customFormat="1" ht="19.5" customHeight="1" collapsed="1">
      <c r="A251" s="353" t="s">
        <v>161</v>
      </c>
      <c r="B251" s="354"/>
      <c r="C251" s="354"/>
      <c r="D251" s="354"/>
      <c r="E251" s="354"/>
      <c r="F251" s="354"/>
      <c r="G251" s="354"/>
      <c r="H251" s="354"/>
      <c r="I251" s="354"/>
      <c r="J251" s="355"/>
      <c r="K251" s="270"/>
    </row>
    <row r="252" spans="1:11" s="145" customFormat="1" ht="31.5" hidden="1" outlineLevel="1">
      <c r="A252" s="177">
        <v>1</v>
      </c>
      <c r="B252" s="155" t="s">
        <v>162</v>
      </c>
      <c r="C252" s="156"/>
      <c r="D252" s="156"/>
      <c r="E252" s="156"/>
      <c r="F252" s="156"/>
      <c r="G252" s="156"/>
      <c r="H252" s="156"/>
      <c r="I252" s="156"/>
      <c r="J252" s="158"/>
      <c r="K252" s="270"/>
    </row>
    <row r="253" spans="1:11" s="145" customFormat="1" ht="19.5" customHeight="1" hidden="1" outlineLevel="1">
      <c r="A253" s="177" t="s">
        <v>300</v>
      </c>
      <c r="B253" s="155" t="s">
        <v>297</v>
      </c>
      <c r="C253" s="156"/>
      <c r="D253" s="156"/>
      <c r="E253" s="156"/>
      <c r="F253" s="156"/>
      <c r="G253" s="156"/>
      <c r="H253" s="156"/>
      <c r="I253" s="156"/>
      <c r="J253" s="158"/>
      <c r="K253" s="270"/>
    </row>
    <row r="254" spans="1:11" s="145" customFormat="1" ht="24.75" customHeight="1" collapsed="1">
      <c r="A254" s="357" t="s">
        <v>351</v>
      </c>
      <c r="B254" s="358"/>
      <c r="C254" s="358"/>
      <c r="D254" s="358"/>
      <c r="E254" s="358"/>
      <c r="F254" s="358"/>
      <c r="G254" s="358"/>
      <c r="H254" s="358"/>
      <c r="I254" s="358"/>
      <c r="J254" s="359"/>
      <c r="K254" s="270"/>
    </row>
    <row r="255" spans="1:11" s="144" customFormat="1" ht="24.75" customHeight="1">
      <c r="A255" s="353" t="s">
        <v>283</v>
      </c>
      <c r="B255" s="354"/>
      <c r="C255" s="354"/>
      <c r="D255" s="354"/>
      <c r="E255" s="354"/>
      <c r="F255" s="354"/>
      <c r="G255" s="354"/>
      <c r="H255" s="354"/>
      <c r="I255" s="354"/>
      <c r="J255" s="355"/>
      <c r="K255" s="278"/>
    </row>
    <row r="256" spans="1:11" s="145" customFormat="1" ht="30" customHeight="1" hidden="1" outlineLevel="1">
      <c r="A256" s="272">
        <v>1</v>
      </c>
      <c r="B256" s="155" t="s">
        <v>148</v>
      </c>
      <c r="C256" s="156"/>
      <c r="D256" s="162" t="s">
        <v>291</v>
      </c>
      <c r="E256" s="162" t="s">
        <v>291</v>
      </c>
      <c r="F256" s="158"/>
      <c r="G256" s="162" t="s">
        <v>291</v>
      </c>
      <c r="H256" s="162" t="s">
        <v>291</v>
      </c>
      <c r="I256" s="158"/>
      <c r="J256" s="162"/>
      <c r="K256" s="270"/>
    </row>
    <row r="257" spans="1:11" s="145" customFormat="1" ht="30" customHeight="1" hidden="1" outlineLevel="1">
      <c r="A257" s="363">
        <v>2</v>
      </c>
      <c r="B257" s="155" t="s">
        <v>352</v>
      </c>
      <c r="C257" s="156"/>
      <c r="D257" s="156"/>
      <c r="E257" s="156"/>
      <c r="F257" s="158"/>
      <c r="G257" s="156"/>
      <c r="H257" s="156"/>
      <c r="I257" s="158"/>
      <c r="J257" s="162"/>
      <c r="K257" s="270"/>
    </row>
    <row r="258" spans="1:11" s="145" customFormat="1" ht="19.5" customHeight="1" hidden="1" outlineLevel="1">
      <c r="A258" s="363"/>
      <c r="B258" s="167" t="s">
        <v>389</v>
      </c>
      <c r="C258" s="156"/>
      <c r="D258" s="156"/>
      <c r="E258" s="156"/>
      <c r="F258" s="158"/>
      <c r="G258" s="156"/>
      <c r="H258" s="156"/>
      <c r="I258" s="158"/>
      <c r="J258" s="162"/>
      <c r="K258" s="270"/>
    </row>
    <row r="259" spans="1:11" s="145" customFormat="1" ht="19.5" customHeight="1" hidden="1" outlineLevel="1">
      <c r="A259" s="272">
        <v>3</v>
      </c>
      <c r="B259" s="163" t="s">
        <v>123</v>
      </c>
      <c r="C259" s="178"/>
      <c r="D259" s="179"/>
      <c r="E259" s="162"/>
      <c r="F259" s="162"/>
      <c r="G259" s="179"/>
      <c r="H259" s="162"/>
      <c r="I259" s="162"/>
      <c r="J259" s="162"/>
      <c r="K259" s="270"/>
    </row>
    <row r="260" spans="1:11" s="145" customFormat="1" ht="30" customHeight="1" hidden="1" outlineLevel="1">
      <c r="A260" s="272">
        <v>4</v>
      </c>
      <c r="B260" s="163" t="s">
        <v>206</v>
      </c>
      <c r="C260" s="160" t="s">
        <v>231</v>
      </c>
      <c r="D260" s="162" t="s">
        <v>291</v>
      </c>
      <c r="E260" s="162" t="s">
        <v>291</v>
      </c>
      <c r="F260" s="158"/>
      <c r="G260" s="162" t="s">
        <v>291</v>
      </c>
      <c r="H260" s="162" t="s">
        <v>291</v>
      </c>
      <c r="I260" s="158"/>
      <c r="J260" s="162" t="s">
        <v>291</v>
      </c>
      <c r="K260" s="270"/>
    </row>
    <row r="261" spans="1:11" s="145" customFormat="1" ht="30" customHeight="1" hidden="1" outlineLevel="1">
      <c r="A261" s="272">
        <v>5</v>
      </c>
      <c r="B261" s="155" t="s">
        <v>150</v>
      </c>
      <c r="C261" s="156"/>
      <c r="D261" s="162" t="s">
        <v>291</v>
      </c>
      <c r="E261" s="162" t="s">
        <v>291</v>
      </c>
      <c r="F261" s="158"/>
      <c r="G261" s="162" t="s">
        <v>291</v>
      </c>
      <c r="H261" s="162" t="s">
        <v>291</v>
      </c>
      <c r="I261" s="158"/>
      <c r="J261" s="162"/>
      <c r="K261" s="270"/>
    </row>
    <row r="262" spans="1:11" s="145" customFormat="1" ht="29.25" customHeight="1" hidden="1" outlineLevel="1">
      <c r="A262" s="272">
        <v>6</v>
      </c>
      <c r="B262" s="155" t="s">
        <v>353</v>
      </c>
      <c r="C262" s="160"/>
      <c r="D262" s="160"/>
      <c r="E262" s="160"/>
      <c r="F262" s="160"/>
      <c r="G262" s="160"/>
      <c r="H262" s="160"/>
      <c r="I262" s="160"/>
      <c r="J262" s="162"/>
      <c r="K262" s="270"/>
    </row>
    <row r="263" spans="1:11" s="145" customFormat="1" ht="31.5" customHeight="1" hidden="1" outlineLevel="1">
      <c r="A263" s="272">
        <v>7</v>
      </c>
      <c r="B263" s="155" t="s">
        <v>149</v>
      </c>
      <c r="C263" s="160"/>
      <c r="D263" s="160"/>
      <c r="E263" s="160"/>
      <c r="F263" s="160"/>
      <c r="G263" s="160"/>
      <c r="H263" s="160"/>
      <c r="I263" s="160"/>
      <c r="J263" s="162"/>
      <c r="K263" s="270"/>
    </row>
    <row r="264" spans="1:11" s="145" customFormat="1" ht="17.25" customHeight="1" hidden="1" outlineLevel="1">
      <c r="A264" s="272">
        <v>8</v>
      </c>
      <c r="B264" s="163" t="s">
        <v>27</v>
      </c>
      <c r="C264" s="160"/>
      <c r="D264" s="160" t="s">
        <v>291</v>
      </c>
      <c r="E264" s="160" t="s">
        <v>291</v>
      </c>
      <c r="F264" s="162"/>
      <c r="G264" s="160" t="s">
        <v>291</v>
      </c>
      <c r="H264" s="160" t="s">
        <v>291</v>
      </c>
      <c r="I264" s="162"/>
      <c r="J264" s="162"/>
      <c r="K264" s="270"/>
    </row>
    <row r="265" spans="1:11" s="145" customFormat="1" ht="17.25" customHeight="1" hidden="1" outlineLevel="1">
      <c r="A265" s="360">
        <v>9</v>
      </c>
      <c r="B265" s="367" t="s">
        <v>364</v>
      </c>
      <c r="C265" s="368"/>
      <c r="D265" s="368"/>
      <c r="E265" s="368"/>
      <c r="F265" s="368"/>
      <c r="G265" s="368"/>
      <c r="H265" s="368"/>
      <c r="I265" s="368"/>
      <c r="J265" s="369"/>
      <c r="K265" s="270"/>
    </row>
    <row r="266" spans="1:11" s="145" customFormat="1" ht="17.25" customHeight="1" hidden="1" outlineLevel="1">
      <c r="A266" s="361"/>
      <c r="B266" s="163" t="s">
        <v>29</v>
      </c>
      <c r="C266" s="160" t="s">
        <v>231</v>
      </c>
      <c r="D266" s="160"/>
      <c r="E266" s="160"/>
      <c r="F266" s="162"/>
      <c r="G266" s="160"/>
      <c r="H266" s="160"/>
      <c r="I266" s="162"/>
      <c r="J266" s="160" t="s">
        <v>291</v>
      </c>
      <c r="K266" s="270"/>
    </row>
    <row r="267" spans="1:11" s="145" customFormat="1" ht="17.25" customHeight="1" hidden="1" outlineLevel="1">
      <c r="A267" s="361"/>
      <c r="B267" s="170" t="s">
        <v>30</v>
      </c>
      <c r="C267" s="160" t="s">
        <v>231</v>
      </c>
      <c r="D267" s="170"/>
      <c r="E267" s="170"/>
      <c r="F267" s="170"/>
      <c r="G267" s="170"/>
      <c r="H267" s="170"/>
      <c r="I267" s="170"/>
      <c r="J267" s="160" t="s">
        <v>291</v>
      </c>
      <c r="K267" s="270"/>
    </row>
    <row r="268" spans="1:11" s="145" customFormat="1" ht="18.75" customHeight="1" hidden="1" outlineLevel="1">
      <c r="A268" s="362"/>
      <c r="B268" s="170" t="s">
        <v>28</v>
      </c>
      <c r="C268" s="160" t="s">
        <v>231</v>
      </c>
      <c r="D268" s="170"/>
      <c r="E268" s="170"/>
      <c r="F268" s="170"/>
      <c r="G268" s="170"/>
      <c r="H268" s="170"/>
      <c r="I268" s="170"/>
      <c r="J268" s="160" t="s">
        <v>291</v>
      </c>
      <c r="K268" s="270"/>
    </row>
    <row r="269" spans="1:11" s="145" customFormat="1" ht="30" customHeight="1" hidden="1" outlineLevel="1">
      <c r="A269" s="272">
        <v>10</v>
      </c>
      <c r="B269" s="163" t="s">
        <v>365</v>
      </c>
      <c r="C269" s="160" t="s">
        <v>231</v>
      </c>
      <c r="D269" s="160" t="s">
        <v>291</v>
      </c>
      <c r="E269" s="160" t="s">
        <v>291</v>
      </c>
      <c r="F269" s="180"/>
      <c r="G269" s="160" t="s">
        <v>291</v>
      </c>
      <c r="H269" s="160" t="s">
        <v>291</v>
      </c>
      <c r="I269" s="170"/>
      <c r="J269" s="160" t="s">
        <v>291</v>
      </c>
      <c r="K269" s="270"/>
    </row>
    <row r="270" spans="1:11" s="145" customFormat="1" ht="19.5" customHeight="1" hidden="1" outlineLevel="1">
      <c r="A270" s="271" t="s">
        <v>300</v>
      </c>
      <c r="B270" s="155" t="s">
        <v>297</v>
      </c>
      <c r="C270" s="161"/>
      <c r="D270" s="161"/>
      <c r="E270" s="161"/>
      <c r="F270" s="161"/>
      <c r="G270" s="161"/>
      <c r="H270" s="161"/>
      <c r="I270" s="161"/>
      <c r="J270" s="158"/>
      <c r="K270" s="270"/>
    </row>
    <row r="271" spans="1:11" s="144" customFormat="1" ht="24.75" customHeight="1" collapsed="1">
      <c r="A271" s="353" t="s">
        <v>284</v>
      </c>
      <c r="B271" s="354"/>
      <c r="C271" s="354"/>
      <c r="D271" s="354"/>
      <c r="E271" s="354"/>
      <c r="F271" s="354"/>
      <c r="G271" s="354"/>
      <c r="H271" s="354"/>
      <c r="I271" s="354"/>
      <c r="J271" s="355"/>
      <c r="K271" s="278"/>
    </row>
    <row r="272" spans="1:11" s="145" customFormat="1" ht="30" customHeight="1" hidden="1" outlineLevel="1">
      <c r="A272" s="363">
        <v>1</v>
      </c>
      <c r="B272" s="155" t="s">
        <v>293</v>
      </c>
      <c r="C272" s="156"/>
      <c r="D272" s="157"/>
      <c r="E272" s="158"/>
      <c r="F272" s="158"/>
      <c r="G272" s="157"/>
      <c r="H272" s="158"/>
      <c r="I272" s="158"/>
      <c r="J272" s="162"/>
      <c r="K272" s="270"/>
    </row>
    <row r="273" spans="1:11" s="145" customFormat="1" ht="19.5" customHeight="1" hidden="1" outlineLevel="1">
      <c r="A273" s="363"/>
      <c r="B273" s="164" t="s">
        <v>294</v>
      </c>
      <c r="C273" s="161"/>
      <c r="D273" s="157"/>
      <c r="E273" s="158"/>
      <c r="F273" s="158"/>
      <c r="G273" s="157"/>
      <c r="H273" s="158"/>
      <c r="I273" s="158"/>
      <c r="J273" s="162"/>
      <c r="K273" s="270"/>
    </row>
    <row r="274" spans="1:11" s="145" customFormat="1" ht="19.5" customHeight="1" hidden="1" outlineLevel="1">
      <c r="A274" s="363"/>
      <c r="B274" s="164" t="s">
        <v>295</v>
      </c>
      <c r="C274" s="161"/>
      <c r="D274" s="157"/>
      <c r="E274" s="158"/>
      <c r="F274" s="158"/>
      <c r="G274" s="157"/>
      <c r="H274" s="158"/>
      <c r="I274" s="158"/>
      <c r="J274" s="162"/>
      <c r="K274" s="270"/>
    </row>
    <row r="275" spans="1:11" s="145" customFormat="1" ht="31.5" hidden="1" outlineLevel="1">
      <c r="A275" s="272">
        <v>2</v>
      </c>
      <c r="B275" s="155" t="s">
        <v>32</v>
      </c>
      <c r="C275" s="160"/>
      <c r="D275" s="179"/>
      <c r="E275" s="162"/>
      <c r="F275" s="162"/>
      <c r="G275" s="179"/>
      <c r="H275" s="162"/>
      <c r="I275" s="162"/>
      <c r="J275" s="162"/>
      <c r="K275" s="270"/>
    </row>
    <row r="276" spans="1:11" s="145" customFormat="1" ht="19.5" customHeight="1" hidden="1" outlineLevel="1">
      <c r="A276" s="272">
        <v>3</v>
      </c>
      <c r="B276" s="155" t="s">
        <v>354</v>
      </c>
      <c r="C276" s="156"/>
      <c r="D276" s="157"/>
      <c r="E276" s="158"/>
      <c r="F276" s="158"/>
      <c r="G276" s="157"/>
      <c r="H276" s="158"/>
      <c r="I276" s="158"/>
      <c r="J276" s="162"/>
      <c r="K276" s="270"/>
    </row>
    <row r="277" spans="1:11" s="145" customFormat="1" ht="19.5" customHeight="1" hidden="1" outlineLevel="1">
      <c r="A277" s="271" t="s">
        <v>300</v>
      </c>
      <c r="B277" s="155" t="s">
        <v>297</v>
      </c>
      <c r="C277" s="161"/>
      <c r="D277" s="157"/>
      <c r="E277" s="158"/>
      <c r="F277" s="158"/>
      <c r="G277" s="157"/>
      <c r="H277" s="158"/>
      <c r="I277" s="158"/>
      <c r="J277" s="158"/>
      <c r="K277" s="270"/>
    </row>
    <row r="278" spans="1:11" s="145" customFormat="1" ht="24.75" customHeight="1" collapsed="1">
      <c r="A278" s="357" t="s">
        <v>355</v>
      </c>
      <c r="B278" s="358"/>
      <c r="C278" s="358"/>
      <c r="D278" s="358"/>
      <c r="E278" s="358"/>
      <c r="F278" s="358"/>
      <c r="G278" s="358"/>
      <c r="H278" s="358"/>
      <c r="I278" s="358"/>
      <c r="J278" s="359"/>
      <c r="K278" s="270"/>
    </row>
    <row r="279" spans="1:11" s="144" customFormat="1" ht="24.75" customHeight="1">
      <c r="A279" s="353" t="s">
        <v>285</v>
      </c>
      <c r="B279" s="354"/>
      <c r="C279" s="354"/>
      <c r="D279" s="354"/>
      <c r="E279" s="354"/>
      <c r="F279" s="354"/>
      <c r="G279" s="354"/>
      <c r="H279" s="354"/>
      <c r="I279" s="354"/>
      <c r="J279" s="355"/>
      <c r="K279" s="278"/>
    </row>
    <row r="280" spans="1:11" s="145" customFormat="1" ht="30" customHeight="1" hidden="1" outlineLevel="1">
      <c r="A280" s="272">
        <v>1</v>
      </c>
      <c r="B280" s="163" t="s">
        <v>207</v>
      </c>
      <c r="C280" s="156"/>
      <c r="D280" s="162" t="s">
        <v>291</v>
      </c>
      <c r="E280" s="162" t="s">
        <v>291</v>
      </c>
      <c r="F280" s="157"/>
      <c r="G280" s="162" t="s">
        <v>291</v>
      </c>
      <c r="H280" s="162" t="s">
        <v>291</v>
      </c>
      <c r="I280" s="158"/>
      <c r="J280" s="162"/>
      <c r="K280" s="270"/>
    </row>
    <row r="281" spans="1:11" s="145" customFormat="1" ht="30" customHeight="1" hidden="1" outlineLevel="1">
      <c r="A281" s="272">
        <v>2</v>
      </c>
      <c r="B281" s="155" t="s">
        <v>229</v>
      </c>
      <c r="C281" s="160" t="s">
        <v>231</v>
      </c>
      <c r="D281" s="157"/>
      <c r="E281" s="157"/>
      <c r="F281" s="157"/>
      <c r="G281" s="157"/>
      <c r="H281" s="157"/>
      <c r="I281" s="157"/>
      <c r="J281" s="162" t="s">
        <v>291</v>
      </c>
      <c r="K281" s="270"/>
    </row>
    <row r="282" spans="1:11" s="145" customFormat="1" ht="31.5" hidden="1" outlineLevel="1">
      <c r="A282" s="363">
        <v>3</v>
      </c>
      <c r="B282" s="163" t="s">
        <v>371</v>
      </c>
      <c r="C282" s="156"/>
      <c r="D282" s="162" t="s">
        <v>291</v>
      </c>
      <c r="E282" s="162" t="s">
        <v>291</v>
      </c>
      <c r="F282" s="157"/>
      <c r="G282" s="162" t="s">
        <v>291</v>
      </c>
      <c r="H282" s="162" t="s">
        <v>291</v>
      </c>
      <c r="I282" s="158"/>
      <c r="J282" s="162"/>
      <c r="K282" s="270"/>
    </row>
    <row r="283" spans="1:11" s="145" customFormat="1" ht="19.5" customHeight="1" hidden="1" outlineLevel="1">
      <c r="A283" s="363"/>
      <c r="B283" s="164" t="s">
        <v>191</v>
      </c>
      <c r="C283" s="156"/>
      <c r="D283" s="162" t="s">
        <v>291</v>
      </c>
      <c r="E283" s="162" t="s">
        <v>291</v>
      </c>
      <c r="F283" s="157"/>
      <c r="G283" s="162" t="s">
        <v>291</v>
      </c>
      <c r="H283" s="162" t="s">
        <v>291</v>
      </c>
      <c r="I283" s="158"/>
      <c r="J283" s="162"/>
      <c r="K283" s="270"/>
    </row>
    <row r="284" spans="1:11" s="145" customFormat="1" ht="19.5" customHeight="1" hidden="1" outlineLevel="1">
      <c r="A284" s="363"/>
      <c r="B284" s="164" t="s">
        <v>192</v>
      </c>
      <c r="C284" s="156"/>
      <c r="D284" s="162" t="s">
        <v>291</v>
      </c>
      <c r="E284" s="162" t="s">
        <v>291</v>
      </c>
      <c r="F284" s="157"/>
      <c r="G284" s="162" t="s">
        <v>291</v>
      </c>
      <c r="H284" s="162" t="s">
        <v>291</v>
      </c>
      <c r="I284" s="158"/>
      <c r="J284" s="162"/>
      <c r="K284" s="270"/>
    </row>
    <row r="285" spans="1:11" s="145" customFormat="1" ht="27.75" customHeight="1" hidden="1" outlineLevel="1">
      <c r="A285" s="272">
        <v>4</v>
      </c>
      <c r="B285" s="155" t="s">
        <v>141</v>
      </c>
      <c r="C285" s="181"/>
      <c r="D285" s="160" t="s">
        <v>291</v>
      </c>
      <c r="E285" s="160" t="s">
        <v>291</v>
      </c>
      <c r="F285" s="179"/>
      <c r="G285" s="160" t="s">
        <v>291</v>
      </c>
      <c r="H285" s="160" t="s">
        <v>291</v>
      </c>
      <c r="I285" s="162"/>
      <c r="J285" s="162"/>
      <c r="K285" s="270"/>
    </row>
    <row r="286" spans="1:11" s="145" customFormat="1" ht="19.5" customHeight="1" hidden="1" outlineLevel="1">
      <c r="A286" s="271" t="s">
        <v>300</v>
      </c>
      <c r="B286" s="155" t="s">
        <v>297</v>
      </c>
      <c r="C286" s="156"/>
      <c r="D286" s="156"/>
      <c r="E286" s="156"/>
      <c r="F286" s="156"/>
      <c r="G286" s="156"/>
      <c r="H286" s="156"/>
      <c r="I286" s="156"/>
      <c r="J286" s="158"/>
      <c r="K286" s="270"/>
    </row>
    <row r="287" spans="1:11" s="144" customFormat="1" ht="24.75" customHeight="1" collapsed="1">
      <c r="A287" s="353" t="s">
        <v>286</v>
      </c>
      <c r="B287" s="354"/>
      <c r="C287" s="354"/>
      <c r="D287" s="354"/>
      <c r="E287" s="354"/>
      <c r="F287" s="354"/>
      <c r="G287" s="354"/>
      <c r="H287" s="354"/>
      <c r="I287" s="354"/>
      <c r="J287" s="355"/>
      <c r="K287" s="278"/>
    </row>
    <row r="288" spans="1:11" s="145" customFormat="1" ht="30" customHeight="1" hidden="1" outlineLevel="1">
      <c r="A288" s="272">
        <v>1</v>
      </c>
      <c r="B288" s="155" t="s">
        <v>228</v>
      </c>
      <c r="C288" s="156"/>
      <c r="D288" s="162" t="s">
        <v>291</v>
      </c>
      <c r="E288" s="162" t="s">
        <v>291</v>
      </c>
      <c r="F288" s="157"/>
      <c r="G288" s="162" t="s">
        <v>291</v>
      </c>
      <c r="H288" s="162" t="s">
        <v>291</v>
      </c>
      <c r="I288" s="158"/>
      <c r="J288" s="162"/>
      <c r="K288" s="270"/>
    </row>
    <row r="289" spans="1:11" s="145" customFormat="1" ht="30" customHeight="1" hidden="1" outlineLevel="1">
      <c r="A289" s="272">
        <v>2</v>
      </c>
      <c r="B289" s="155" t="s">
        <v>372</v>
      </c>
      <c r="C289" s="156"/>
      <c r="D289" s="162" t="s">
        <v>291</v>
      </c>
      <c r="E289" s="162" t="s">
        <v>291</v>
      </c>
      <c r="F289" s="157"/>
      <c r="G289" s="162" t="s">
        <v>291</v>
      </c>
      <c r="H289" s="162" t="s">
        <v>291</v>
      </c>
      <c r="I289" s="158"/>
      <c r="J289" s="162"/>
      <c r="K289" s="270"/>
    </row>
    <row r="290" spans="1:11" s="145" customFormat="1" ht="30" customHeight="1" hidden="1" outlineLevel="1">
      <c r="A290" s="272">
        <v>3</v>
      </c>
      <c r="B290" s="163" t="s">
        <v>209</v>
      </c>
      <c r="C290" s="160"/>
      <c r="D290" s="157"/>
      <c r="E290" s="157"/>
      <c r="F290" s="157"/>
      <c r="G290" s="157"/>
      <c r="H290" s="157"/>
      <c r="I290" s="157"/>
      <c r="J290" s="162"/>
      <c r="K290" s="270"/>
    </row>
    <row r="291" spans="1:11" s="145" customFormat="1" ht="19.5" customHeight="1" hidden="1" outlineLevel="1">
      <c r="A291" s="271" t="s">
        <v>300</v>
      </c>
      <c r="B291" s="155" t="s">
        <v>297</v>
      </c>
      <c r="C291" s="161"/>
      <c r="D291" s="157"/>
      <c r="E291" s="157"/>
      <c r="F291" s="157"/>
      <c r="G291" s="157"/>
      <c r="H291" s="157"/>
      <c r="I291" s="158"/>
      <c r="J291" s="158"/>
      <c r="K291" s="270"/>
    </row>
    <row r="292" spans="1:11" s="144" customFormat="1" ht="24.75" customHeight="1" collapsed="1">
      <c r="A292" s="353" t="s">
        <v>287</v>
      </c>
      <c r="B292" s="354"/>
      <c r="C292" s="354"/>
      <c r="D292" s="354"/>
      <c r="E292" s="354"/>
      <c r="F292" s="354"/>
      <c r="G292" s="354"/>
      <c r="H292" s="354"/>
      <c r="I292" s="354"/>
      <c r="J292" s="355"/>
      <c r="K292" s="278"/>
    </row>
    <row r="293" spans="1:11" s="145" customFormat="1" ht="27.75" customHeight="1" hidden="1" outlineLevel="1">
      <c r="A293" s="363">
        <v>1</v>
      </c>
      <c r="B293" s="155" t="s">
        <v>208</v>
      </c>
      <c r="C293" s="156"/>
      <c r="D293" s="157"/>
      <c r="E293" s="157"/>
      <c r="F293" s="157"/>
      <c r="G293" s="157"/>
      <c r="H293" s="158"/>
      <c r="I293" s="158"/>
      <c r="J293" s="162"/>
      <c r="K293" s="270"/>
    </row>
    <row r="294" spans="1:11" s="145" customFormat="1" ht="19.5" customHeight="1" hidden="1" outlineLevel="1">
      <c r="A294" s="363"/>
      <c r="B294" s="167" t="s">
        <v>193</v>
      </c>
      <c r="C294" s="168"/>
      <c r="D294" s="157"/>
      <c r="E294" s="157"/>
      <c r="F294" s="157"/>
      <c r="G294" s="157"/>
      <c r="H294" s="158"/>
      <c r="I294" s="158"/>
      <c r="J294" s="162"/>
      <c r="K294" s="270"/>
    </row>
    <row r="295" spans="1:11" s="145" customFormat="1" ht="19.5" customHeight="1" hidden="1" outlineLevel="1">
      <c r="A295" s="363"/>
      <c r="B295" s="167" t="s">
        <v>194</v>
      </c>
      <c r="C295" s="168"/>
      <c r="D295" s="157"/>
      <c r="E295" s="157"/>
      <c r="F295" s="157"/>
      <c r="G295" s="157"/>
      <c r="H295" s="158"/>
      <c r="I295" s="158"/>
      <c r="J295" s="162"/>
      <c r="K295" s="270"/>
    </row>
    <row r="296" spans="1:11" s="145" customFormat="1" ht="19.5" customHeight="1" hidden="1" outlineLevel="1">
      <c r="A296" s="271" t="s">
        <v>300</v>
      </c>
      <c r="B296" s="155" t="s">
        <v>297</v>
      </c>
      <c r="C296" s="161"/>
      <c r="D296" s="157"/>
      <c r="E296" s="158"/>
      <c r="F296" s="158"/>
      <c r="G296" s="157"/>
      <c r="H296" s="158"/>
      <c r="I296" s="158"/>
      <c r="J296" s="158"/>
      <c r="K296" s="270"/>
    </row>
    <row r="297" spans="1:11" s="145" customFormat="1" ht="24.75" customHeight="1" collapsed="1">
      <c r="A297" s="357" t="s">
        <v>288</v>
      </c>
      <c r="B297" s="374"/>
      <c r="C297" s="374"/>
      <c r="D297" s="374"/>
      <c r="E297" s="374"/>
      <c r="F297" s="374"/>
      <c r="G297" s="374"/>
      <c r="H297" s="374"/>
      <c r="I297" s="374"/>
      <c r="J297" s="375"/>
      <c r="K297" s="270"/>
    </row>
    <row r="298" spans="1:11" s="145" customFormat="1" ht="19.5" customHeight="1" hidden="1" outlineLevel="1">
      <c r="A298" s="173">
        <v>1</v>
      </c>
      <c r="B298" s="182" t="s">
        <v>289</v>
      </c>
      <c r="C298" s="183"/>
      <c r="D298" s="184" t="s">
        <v>291</v>
      </c>
      <c r="E298" s="184" t="s">
        <v>291</v>
      </c>
      <c r="F298" s="183"/>
      <c r="G298" s="184" t="s">
        <v>291</v>
      </c>
      <c r="H298" s="184" t="s">
        <v>291</v>
      </c>
      <c r="I298" s="183"/>
      <c r="J298" s="184"/>
      <c r="K298" s="270"/>
    </row>
    <row r="299" spans="1:11" s="145" customFormat="1" ht="19.5" customHeight="1" collapsed="1">
      <c r="A299" s="353" t="s">
        <v>142</v>
      </c>
      <c r="B299" s="354"/>
      <c r="C299" s="354"/>
      <c r="D299" s="354"/>
      <c r="E299" s="354"/>
      <c r="F299" s="354"/>
      <c r="G299" s="354"/>
      <c r="H299" s="354"/>
      <c r="I299" s="354"/>
      <c r="J299" s="355"/>
      <c r="K299" s="270"/>
    </row>
    <row r="300" spans="1:11" s="145" customFormat="1" ht="31.5" customHeight="1" hidden="1" outlineLevel="1">
      <c r="A300" s="360">
        <v>1</v>
      </c>
      <c r="B300" s="163" t="s">
        <v>145</v>
      </c>
      <c r="C300" s="178"/>
      <c r="D300" s="179"/>
      <c r="E300" s="179"/>
      <c r="F300" s="179"/>
      <c r="G300" s="179"/>
      <c r="H300" s="162"/>
      <c r="I300" s="162"/>
      <c r="J300" s="162"/>
      <c r="K300" s="270"/>
    </row>
    <row r="301" spans="1:11" s="145" customFormat="1" ht="18.75" customHeight="1" hidden="1" outlineLevel="1">
      <c r="A301" s="376"/>
      <c r="B301" s="163" t="s">
        <v>176</v>
      </c>
      <c r="C301" s="160" t="s">
        <v>231</v>
      </c>
      <c r="D301" s="179"/>
      <c r="E301" s="179"/>
      <c r="F301" s="179"/>
      <c r="G301" s="179"/>
      <c r="H301" s="162"/>
      <c r="I301" s="162"/>
      <c r="J301" s="184" t="s">
        <v>291</v>
      </c>
      <c r="K301" s="270"/>
    </row>
    <row r="302" spans="1:11" s="145" customFormat="1" ht="19.5" customHeight="1" hidden="1" outlineLevel="1">
      <c r="A302" s="376"/>
      <c r="B302" s="163" t="s">
        <v>177</v>
      </c>
      <c r="C302" s="160" t="s">
        <v>231</v>
      </c>
      <c r="D302" s="179"/>
      <c r="E302" s="179"/>
      <c r="F302" s="179"/>
      <c r="G302" s="179"/>
      <c r="H302" s="162"/>
      <c r="I302" s="162"/>
      <c r="J302" s="184" t="s">
        <v>291</v>
      </c>
      <c r="K302" s="270"/>
    </row>
    <row r="303" spans="1:11" s="145" customFormat="1" ht="21" customHeight="1" hidden="1" outlineLevel="1">
      <c r="A303" s="376"/>
      <c r="B303" s="163" t="s">
        <v>178</v>
      </c>
      <c r="C303" s="160" t="s">
        <v>231</v>
      </c>
      <c r="D303" s="179"/>
      <c r="E303" s="179"/>
      <c r="F303" s="179"/>
      <c r="G303" s="179"/>
      <c r="H303" s="162"/>
      <c r="I303" s="162"/>
      <c r="J303" s="184" t="s">
        <v>291</v>
      </c>
      <c r="K303" s="270"/>
    </row>
    <row r="304" spans="1:11" s="145" customFormat="1" ht="21" customHeight="1" hidden="1" outlineLevel="1">
      <c r="A304" s="377"/>
      <c r="B304" s="163" t="s">
        <v>38</v>
      </c>
      <c r="C304" s="190" t="s">
        <v>231</v>
      </c>
      <c r="D304" s="185"/>
      <c r="E304" s="185"/>
      <c r="F304" s="185"/>
      <c r="G304" s="185"/>
      <c r="H304" s="174"/>
      <c r="I304" s="174"/>
      <c r="J304" s="191" t="s">
        <v>291</v>
      </c>
      <c r="K304" s="270"/>
    </row>
    <row r="305" spans="1:11" s="145" customFormat="1" ht="21" customHeight="1" hidden="1" outlineLevel="1">
      <c r="A305" s="272">
        <v>2</v>
      </c>
      <c r="B305" s="163" t="s">
        <v>179</v>
      </c>
      <c r="C305" s="160" t="s">
        <v>231</v>
      </c>
      <c r="D305" s="179"/>
      <c r="E305" s="179"/>
      <c r="F305" s="179"/>
      <c r="G305" s="179"/>
      <c r="H305" s="162"/>
      <c r="I305" s="162"/>
      <c r="J305" s="184" t="s">
        <v>291</v>
      </c>
      <c r="K305" s="270"/>
    </row>
    <row r="306" spans="1:11" s="144" customFormat="1" ht="20.25" customHeight="1" collapsed="1">
      <c r="A306" s="378" t="s">
        <v>314</v>
      </c>
      <c r="B306" s="379"/>
      <c r="C306" s="380"/>
      <c r="D306" s="381"/>
      <c r="E306" s="381"/>
      <c r="F306" s="381"/>
      <c r="G306" s="381"/>
      <c r="H306" s="381"/>
      <c r="I306" s="381"/>
      <c r="J306" s="382"/>
      <c r="K306" s="278"/>
    </row>
    <row r="307" spans="1:11" s="144" customFormat="1" ht="15.75">
      <c r="A307" s="370" t="s">
        <v>45</v>
      </c>
      <c r="B307" s="371"/>
      <c r="C307" s="371"/>
      <c r="D307" s="371"/>
      <c r="E307" s="371"/>
      <c r="F307" s="371"/>
      <c r="G307" s="371"/>
      <c r="H307" s="371"/>
      <c r="I307" s="371"/>
      <c r="J307" s="372"/>
      <c r="K307" s="278"/>
    </row>
    <row r="308" spans="1:11" s="144" customFormat="1" ht="15.75">
      <c r="A308" s="370" t="s">
        <v>31</v>
      </c>
      <c r="B308" s="371"/>
      <c r="C308" s="371"/>
      <c r="D308" s="371"/>
      <c r="E308" s="371"/>
      <c r="F308" s="371"/>
      <c r="G308" s="371"/>
      <c r="H308" s="371"/>
      <c r="I308" s="371"/>
      <c r="J308" s="372"/>
      <c r="K308" s="278"/>
    </row>
    <row r="309" spans="1:11" s="144" customFormat="1" ht="14.25" customHeight="1">
      <c r="A309" s="373" t="s">
        <v>309</v>
      </c>
      <c r="B309" s="373"/>
      <c r="C309" s="186"/>
      <c r="D309" s="186"/>
      <c r="E309" s="186"/>
      <c r="F309" s="186"/>
      <c r="G309" s="186"/>
      <c r="H309" s="186"/>
      <c r="I309" s="186"/>
      <c r="J309" s="186"/>
      <c r="K309" s="278"/>
    </row>
    <row r="310" spans="1:11" s="144" customFormat="1" ht="15.75">
      <c r="A310" s="187" t="s">
        <v>310</v>
      </c>
      <c r="B310" s="186"/>
      <c r="C310" s="186"/>
      <c r="D310" s="186"/>
      <c r="E310" s="186"/>
      <c r="F310" s="186"/>
      <c r="G310" s="186"/>
      <c r="H310" s="186"/>
      <c r="I310" s="186"/>
      <c r="J310" s="186"/>
      <c r="K310" s="278"/>
    </row>
  </sheetData>
  <sheetProtection/>
  <mergeCells count="97">
    <mergeCell ref="A308:J308"/>
    <mergeCell ref="A309:B309"/>
    <mergeCell ref="A297:J297"/>
    <mergeCell ref="A299:J299"/>
    <mergeCell ref="A300:A304"/>
    <mergeCell ref="A306:B306"/>
    <mergeCell ref="C306:J306"/>
    <mergeCell ref="A307:J307"/>
    <mergeCell ref="A278:J278"/>
    <mergeCell ref="A279:J279"/>
    <mergeCell ref="A282:A284"/>
    <mergeCell ref="A287:J287"/>
    <mergeCell ref="A292:J292"/>
    <mergeCell ref="A293:A295"/>
    <mergeCell ref="A255:J255"/>
    <mergeCell ref="A257:A258"/>
    <mergeCell ref="A265:A268"/>
    <mergeCell ref="B265:J265"/>
    <mergeCell ref="A271:J271"/>
    <mergeCell ref="A272:A274"/>
    <mergeCell ref="A235:J235"/>
    <mergeCell ref="A236:A237"/>
    <mergeCell ref="A241:J241"/>
    <mergeCell ref="A248:J248"/>
    <mergeCell ref="A251:J251"/>
    <mergeCell ref="A254:J254"/>
    <mergeCell ref="A204:J204"/>
    <mergeCell ref="A205:A213"/>
    <mergeCell ref="A216:J216"/>
    <mergeCell ref="A217:A225"/>
    <mergeCell ref="A226:A232"/>
    <mergeCell ref="A234:J234"/>
    <mergeCell ref="A166:A172"/>
    <mergeCell ref="A174:J174"/>
    <mergeCell ref="A175:A183"/>
    <mergeCell ref="A184:A190"/>
    <mergeCell ref="A191:A193"/>
    <mergeCell ref="A194:A200"/>
    <mergeCell ref="A138:J138"/>
    <mergeCell ref="A143:J143"/>
    <mergeCell ref="A147:J147"/>
    <mergeCell ref="A148:J148"/>
    <mergeCell ref="A149:A157"/>
    <mergeCell ref="A159:A165"/>
    <mergeCell ref="A113:J113"/>
    <mergeCell ref="A120:J120"/>
    <mergeCell ref="A121:J121"/>
    <mergeCell ref="A122:A124"/>
    <mergeCell ref="A130:J130"/>
    <mergeCell ref="A132:A135"/>
    <mergeCell ref="A92:J92"/>
    <mergeCell ref="A93:A95"/>
    <mergeCell ref="A97:J97"/>
    <mergeCell ref="A98:J98"/>
    <mergeCell ref="A103:A105"/>
    <mergeCell ref="A110:J110"/>
    <mergeCell ref="A65:A68"/>
    <mergeCell ref="A73:J73"/>
    <mergeCell ref="A74:J74"/>
    <mergeCell ref="A78:J78"/>
    <mergeCell ref="A81:J81"/>
    <mergeCell ref="A87:J87"/>
    <mergeCell ref="A43:J43"/>
    <mergeCell ref="A46:J46"/>
    <mergeCell ref="A47:J47"/>
    <mergeCell ref="A49:A50"/>
    <mergeCell ref="A56:J56"/>
    <mergeCell ref="A61:J61"/>
    <mergeCell ref="A22:J22"/>
    <mergeCell ref="A23:J23"/>
    <mergeCell ref="A27:J27"/>
    <mergeCell ref="A31:J31"/>
    <mergeCell ref="A32:A37"/>
    <mergeCell ref="A39:J39"/>
    <mergeCell ref="A15:J15"/>
    <mergeCell ref="A16:J16"/>
    <mergeCell ref="A17:J17"/>
    <mergeCell ref="A18:I18"/>
    <mergeCell ref="A19:A20"/>
    <mergeCell ref="B19:B20"/>
    <mergeCell ref="C19:C20"/>
    <mergeCell ref="D19:F19"/>
    <mergeCell ref="G19:I19"/>
    <mergeCell ref="J19:J20"/>
    <mergeCell ref="A9:J9"/>
    <mergeCell ref="A10:J10"/>
    <mergeCell ref="A11:J11"/>
    <mergeCell ref="A12:I12"/>
    <mergeCell ref="A13:J13"/>
    <mergeCell ref="A14:J14"/>
    <mergeCell ref="A1:G1"/>
    <mergeCell ref="A3:B3"/>
    <mergeCell ref="C3:J3"/>
    <mergeCell ref="A5:B5"/>
    <mergeCell ref="C5:J5"/>
    <mergeCell ref="A7:B7"/>
    <mergeCell ref="C7:J7"/>
  </mergeCells>
  <printOptions/>
  <pageMargins left="0.7086614173228347" right="0.7086614173228347" top="0.7480314960629921" bottom="0.7480314960629921" header="0.31496062992125984" footer="0.31496062992125984"/>
  <pageSetup horizontalDpi="600" verticalDpi="600" orientation="landscape" paperSize="9" scale="55" r:id="rId1"/>
</worksheet>
</file>

<file path=xl/worksheets/sheet2.xml><?xml version="1.0" encoding="utf-8"?>
<worksheet xmlns="http://schemas.openxmlformats.org/spreadsheetml/2006/main" xmlns:r="http://schemas.openxmlformats.org/officeDocument/2006/relationships">
  <dimension ref="A1:AC34"/>
  <sheetViews>
    <sheetView view="pageBreakPreview" zoomScale="120" zoomScaleSheetLayoutView="120" zoomScalePageLayoutView="0" workbookViewId="0" topLeftCell="A10">
      <selection activeCell="E20" sqref="E20:G20"/>
    </sheetView>
  </sheetViews>
  <sheetFormatPr defaultColWidth="9.140625" defaultRowHeight="12.75"/>
  <cols>
    <col min="1" max="1" width="22.00390625" style="187" customWidth="1"/>
    <col min="2" max="2" width="12.8515625" style="187" customWidth="1"/>
    <col min="3" max="13" width="8.7109375" style="187" customWidth="1"/>
    <col min="14" max="16384" width="9.140625" style="187" customWidth="1"/>
  </cols>
  <sheetData>
    <row r="1" spans="1:13" ht="18" customHeight="1">
      <c r="A1" s="394" t="s">
        <v>52</v>
      </c>
      <c r="B1" s="394"/>
      <c r="C1" s="394"/>
      <c r="D1" s="394"/>
      <c r="E1" s="394"/>
      <c r="F1" s="394"/>
      <c r="G1" s="394"/>
      <c r="H1" s="394"/>
      <c r="I1" s="394"/>
      <c r="J1" s="394"/>
      <c r="K1" s="394"/>
      <c r="L1" s="394"/>
      <c r="M1" s="394"/>
    </row>
    <row r="2" spans="1:29" ht="14.25" customHeight="1">
      <c r="A2" s="199"/>
      <c r="B2" s="192"/>
      <c r="C2" s="192"/>
      <c r="D2" s="193"/>
      <c r="E2" s="193"/>
      <c r="F2" s="193"/>
      <c r="G2" s="193"/>
      <c r="H2" s="193"/>
      <c r="I2" s="193"/>
      <c r="J2" s="193"/>
      <c r="K2" s="193"/>
      <c r="L2" s="193"/>
      <c r="M2" s="193"/>
      <c r="N2" s="200"/>
      <c r="O2" s="200"/>
      <c r="P2" s="200"/>
      <c r="Q2" s="200"/>
      <c r="R2" s="200"/>
      <c r="S2" s="200"/>
      <c r="T2" s="200"/>
      <c r="U2" s="200"/>
      <c r="V2" s="200"/>
      <c r="W2" s="200"/>
      <c r="X2" s="200"/>
      <c r="Y2" s="200"/>
      <c r="Z2" s="200"/>
      <c r="AA2" s="200"/>
      <c r="AB2" s="200"/>
      <c r="AC2" s="200"/>
    </row>
    <row r="3" spans="1:29" ht="47.25" customHeight="1">
      <c r="A3" s="201" t="s">
        <v>290</v>
      </c>
      <c r="B3" s="391" t="s">
        <v>407</v>
      </c>
      <c r="C3" s="391"/>
      <c r="D3" s="391"/>
      <c r="E3" s="391"/>
      <c r="F3" s="391"/>
      <c r="G3" s="391"/>
      <c r="H3" s="391"/>
      <c r="I3" s="391"/>
      <c r="J3" s="391"/>
      <c r="K3" s="391"/>
      <c r="L3" s="391"/>
      <c r="M3" s="391"/>
      <c r="N3" s="200"/>
      <c r="O3" s="200"/>
      <c r="P3" s="200"/>
      <c r="Q3" s="200"/>
      <c r="R3" s="200"/>
      <c r="S3" s="200"/>
      <c r="T3" s="200"/>
      <c r="U3" s="200"/>
      <c r="V3" s="200"/>
      <c r="W3" s="200"/>
      <c r="X3" s="200"/>
      <c r="Y3" s="200"/>
      <c r="Z3" s="200"/>
      <c r="AA3" s="200"/>
      <c r="AB3" s="200"/>
      <c r="AC3" s="200"/>
    </row>
    <row r="4" spans="1:29" ht="12.75" customHeight="1">
      <c r="A4" s="202"/>
      <c r="B4" s="194"/>
      <c r="C4" s="194"/>
      <c r="D4" s="194"/>
      <c r="E4" s="194"/>
      <c r="F4" s="194"/>
      <c r="G4" s="194"/>
      <c r="H4" s="194"/>
      <c r="I4" s="194"/>
      <c r="J4" s="194"/>
      <c r="K4" s="194"/>
      <c r="L4" s="194"/>
      <c r="M4" s="194"/>
      <c r="N4" s="195"/>
      <c r="O4" s="195"/>
      <c r="P4" s="200"/>
      <c r="Q4" s="200"/>
      <c r="R4" s="200"/>
      <c r="S4" s="200"/>
      <c r="T4" s="200"/>
      <c r="U4" s="200"/>
      <c r="V4" s="200"/>
      <c r="W4" s="200"/>
      <c r="X4" s="200"/>
      <c r="Y4" s="200"/>
      <c r="Z4" s="200"/>
      <c r="AA4" s="200"/>
      <c r="AB4" s="200"/>
      <c r="AC4" s="200"/>
    </row>
    <row r="5" spans="1:29" ht="14.25" customHeight="1">
      <c r="A5" s="202" t="s">
        <v>306</v>
      </c>
      <c r="B5" s="392" t="s">
        <v>408</v>
      </c>
      <c r="C5" s="392"/>
      <c r="D5" s="392"/>
      <c r="E5" s="392"/>
      <c r="F5" s="392"/>
      <c r="G5" s="392"/>
      <c r="H5" s="392"/>
      <c r="I5" s="392"/>
      <c r="J5" s="392"/>
      <c r="K5" s="392"/>
      <c r="L5" s="392"/>
      <c r="M5" s="392"/>
      <c r="N5" s="200"/>
      <c r="O5" s="200"/>
      <c r="P5" s="200"/>
      <c r="Q5" s="200"/>
      <c r="R5" s="200"/>
      <c r="S5" s="200"/>
      <c r="T5" s="200"/>
      <c r="U5" s="200"/>
      <c r="V5" s="200"/>
      <c r="W5" s="200"/>
      <c r="X5" s="200"/>
      <c r="Y5" s="200"/>
      <c r="Z5" s="200"/>
      <c r="AA5" s="200"/>
      <c r="AB5" s="200"/>
      <c r="AC5" s="200"/>
    </row>
    <row r="6" spans="1:29" ht="13.5" customHeight="1">
      <c r="A6" s="202"/>
      <c r="N6" s="200"/>
      <c r="O6" s="200"/>
      <c r="P6" s="200"/>
      <c r="Q6" s="200"/>
      <c r="R6" s="200"/>
      <c r="S6" s="200"/>
      <c r="T6" s="200"/>
      <c r="U6" s="200"/>
      <c r="V6" s="200"/>
      <c r="W6" s="200"/>
      <c r="X6" s="200"/>
      <c r="Y6" s="200"/>
      <c r="Z6" s="200"/>
      <c r="AA6" s="200"/>
      <c r="AB6" s="200"/>
      <c r="AC6" s="200"/>
    </row>
    <row r="7" spans="1:29" ht="13.5" customHeight="1">
      <c r="A7" s="202" t="s">
        <v>307</v>
      </c>
      <c r="B7" s="392" t="s">
        <v>424</v>
      </c>
      <c r="C7" s="392"/>
      <c r="D7" s="392"/>
      <c r="E7" s="392"/>
      <c r="F7" s="392"/>
      <c r="G7" s="392"/>
      <c r="H7" s="392"/>
      <c r="I7" s="392"/>
      <c r="J7" s="392"/>
      <c r="K7" s="392"/>
      <c r="L7" s="392"/>
      <c r="M7" s="392"/>
      <c r="N7" s="200"/>
      <c r="O7" s="200"/>
      <c r="P7" s="200"/>
      <c r="Q7" s="200"/>
      <c r="R7" s="200"/>
      <c r="S7" s="200"/>
      <c r="T7" s="200"/>
      <c r="U7" s="200"/>
      <c r="V7" s="200"/>
      <c r="W7" s="200"/>
      <c r="X7" s="200"/>
      <c r="Y7" s="200"/>
      <c r="Z7" s="200"/>
      <c r="AA7" s="200"/>
      <c r="AB7" s="200"/>
      <c r="AC7" s="200"/>
    </row>
    <row r="8" spans="1:29" ht="13.5" customHeight="1">
      <c r="A8" s="202"/>
      <c r="B8" s="203"/>
      <c r="C8" s="203"/>
      <c r="D8" s="203"/>
      <c r="E8" s="203"/>
      <c r="F8" s="203"/>
      <c r="G8" s="203"/>
      <c r="H8" s="203"/>
      <c r="I8" s="203"/>
      <c r="J8" s="203"/>
      <c r="K8" s="203"/>
      <c r="L8" s="203"/>
      <c r="M8" s="203"/>
      <c r="N8" s="200"/>
      <c r="O8" s="200"/>
      <c r="P8" s="200"/>
      <c r="Q8" s="200"/>
      <c r="R8" s="200"/>
      <c r="S8" s="200"/>
      <c r="T8" s="200"/>
      <c r="U8" s="200"/>
      <c r="V8" s="200"/>
      <c r="W8" s="200"/>
      <c r="X8" s="200"/>
      <c r="Y8" s="200"/>
      <c r="Z8" s="200"/>
      <c r="AA8" s="200"/>
      <c r="AB8" s="200"/>
      <c r="AC8" s="200"/>
    </row>
    <row r="9" spans="1:13" ht="51.75" customHeight="1">
      <c r="A9" s="401" t="s">
        <v>411</v>
      </c>
      <c r="B9" s="401"/>
      <c r="C9" s="401"/>
      <c r="D9" s="401"/>
      <c r="E9" s="401"/>
      <c r="F9" s="401"/>
      <c r="G9" s="401"/>
      <c r="H9" s="401"/>
      <c r="I9" s="401"/>
      <c r="J9" s="401"/>
      <c r="K9" s="401"/>
      <c r="L9" s="401"/>
      <c r="M9" s="401"/>
    </row>
    <row r="10" spans="1:13" ht="19.5" customHeight="1">
      <c r="A10" s="204"/>
      <c r="B10" s="205"/>
      <c r="C10" s="205"/>
      <c r="D10" s="205"/>
      <c r="E10" s="205"/>
      <c r="F10" s="205"/>
      <c r="G10" s="205"/>
      <c r="H10" s="205"/>
      <c r="I10" s="205"/>
      <c r="J10" s="205"/>
      <c r="K10" s="205"/>
      <c r="L10" s="205"/>
      <c r="M10" s="205"/>
    </row>
    <row r="11" spans="1:13" ht="15" customHeight="1">
      <c r="A11" s="395" t="s">
        <v>315</v>
      </c>
      <c r="B11" s="395"/>
      <c r="C11" s="395"/>
      <c r="D11" s="395"/>
      <c r="E11" s="395"/>
      <c r="F11" s="395"/>
      <c r="G11" s="395"/>
      <c r="H11" s="395"/>
      <c r="I11" s="395"/>
      <c r="J11" s="395"/>
      <c r="K11" s="395"/>
      <c r="L11" s="395"/>
      <c r="M11" s="395"/>
    </row>
    <row r="12" spans="1:13" ht="13.5" customHeight="1">
      <c r="A12" s="395" t="s">
        <v>316</v>
      </c>
      <c r="B12" s="395"/>
      <c r="C12" s="395"/>
      <c r="D12" s="395"/>
      <c r="E12" s="395"/>
      <c r="F12" s="395"/>
      <c r="G12" s="395"/>
      <c r="H12" s="395"/>
      <c r="I12" s="395"/>
      <c r="J12" s="395"/>
      <c r="K12" s="395"/>
      <c r="L12" s="395"/>
      <c r="M12" s="395"/>
    </row>
    <row r="13" spans="1:13" ht="15" customHeight="1">
      <c r="A13" s="395" t="s">
        <v>317</v>
      </c>
      <c r="B13" s="395"/>
      <c r="C13" s="395"/>
      <c r="D13" s="395"/>
      <c r="E13" s="395"/>
      <c r="F13" s="395"/>
      <c r="G13" s="395"/>
      <c r="H13" s="395"/>
      <c r="I13" s="395"/>
      <c r="J13" s="395"/>
      <c r="K13" s="395"/>
      <c r="L13" s="395"/>
      <c r="M13" s="395"/>
    </row>
    <row r="14" spans="1:29" ht="13.5" customHeight="1" thickBot="1">
      <c r="A14" s="202"/>
      <c r="B14" s="203"/>
      <c r="C14" s="203"/>
      <c r="D14" s="203"/>
      <c r="E14" s="203"/>
      <c r="F14" s="203"/>
      <c r="G14" s="203"/>
      <c r="H14" s="203"/>
      <c r="I14" s="203"/>
      <c r="J14" s="203"/>
      <c r="K14" s="203"/>
      <c r="L14" s="203"/>
      <c r="M14" s="203"/>
      <c r="N14" s="200"/>
      <c r="O14" s="200"/>
      <c r="P14" s="200"/>
      <c r="Q14" s="200"/>
      <c r="R14" s="200"/>
      <c r="S14" s="200"/>
      <c r="T14" s="200"/>
      <c r="U14" s="200"/>
      <c r="V14" s="200"/>
      <c r="W14" s="200"/>
      <c r="X14" s="200"/>
      <c r="Y14" s="200"/>
      <c r="Z14" s="200"/>
      <c r="AA14" s="200"/>
      <c r="AB14" s="200"/>
      <c r="AC14" s="200"/>
    </row>
    <row r="15" spans="1:13" ht="18" customHeight="1">
      <c r="A15" s="396" t="s">
        <v>318</v>
      </c>
      <c r="B15" s="398" t="s">
        <v>215</v>
      </c>
      <c r="C15" s="399"/>
      <c r="D15" s="399"/>
      <c r="E15" s="399"/>
      <c r="F15" s="399"/>
      <c r="G15" s="399"/>
      <c r="H15" s="399"/>
      <c r="I15" s="399"/>
      <c r="J15" s="399"/>
      <c r="K15" s="399"/>
      <c r="L15" s="399"/>
      <c r="M15" s="400"/>
    </row>
    <row r="16" spans="1:13" ht="63" customHeight="1">
      <c r="A16" s="397"/>
      <c r="B16" s="390" t="s">
        <v>216</v>
      </c>
      <c r="C16" s="390"/>
      <c r="D16" s="390"/>
      <c r="E16" s="390" t="s">
        <v>217</v>
      </c>
      <c r="F16" s="390"/>
      <c r="G16" s="390"/>
      <c r="H16" s="390" t="s">
        <v>219</v>
      </c>
      <c r="I16" s="390"/>
      <c r="J16" s="390"/>
      <c r="K16" s="390" t="s">
        <v>218</v>
      </c>
      <c r="L16" s="390"/>
      <c r="M16" s="393"/>
    </row>
    <row r="17" spans="1:13" ht="24.75" customHeight="1">
      <c r="A17" s="397"/>
      <c r="B17" s="206" t="s">
        <v>312</v>
      </c>
      <c r="C17" s="198" t="s">
        <v>313</v>
      </c>
      <c r="D17" s="198" t="s">
        <v>308</v>
      </c>
      <c r="E17" s="198" t="str">
        <f>B17</f>
        <v>K</v>
      </c>
      <c r="F17" s="198" t="str">
        <f>C17</f>
        <v>M</v>
      </c>
      <c r="G17" s="198" t="str">
        <f>D17</f>
        <v>Ogółem</v>
      </c>
      <c r="H17" s="198" t="str">
        <f>B17</f>
        <v>K</v>
      </c>
      <c r="I17" s="198" t="str">
        <f>C17</f>
        <v>M</v>
      </c>
      <c r="J17" s="198" t="str">
        <f>D17</f>
        <v>Ogółem</v>
      </c>
      <c r="K17" s="198" t="str">
        <f>B17</f>
        <v>K</v>
      </c>
      <c r="L17" s="198" t="str">
        <f>C17</f>
        <v>M</v>
      </c>
      <c r="M17" s="207" t="s">
        <v>308</v>
      </c>
    </row>
    <row r="18" spans="1:13" ht="16.5" customHeight="1">
      <c r="A18" s="208">
        <v>1</v>
      </c>
      <c r="B18" s="209">
        <v>2</v>
      </c>
      <c r="C18" s="209">
        <v>3</v>
      </c>
      <c r="D18" s="209">
        <v>4</v>
      </c>
      <c r="E18" s="209">
        <v>5</v>
      </c>
      <c r="F18" s="209">
        <v>6</v>
      </c>
      <c r="G18" s="209">
        <v>7</v>
      </c>
      <c r="H18" s="209">
        <v>8</v>
      </c>
      <c r="I18" s="209">
        <v>9</v>
      </c>
      <c r="J18" s="209">
        <v>10</v>
      </c>
      <c r="K18" s="209">
        <v>11</v>
      </c>
      <c r="L18" s="209">
        <v>12</v>
      </c>
      <c r="M18" s="210">
        <v>13</v>
      </c>
    </row>
    <row r="19" spans="1:13" ht="16.5" customHeight="1">
      <c r="A19" s="385" t="s">
        <v>266</v>
      </c>
      <c r="B19" s="386"/>
      <c r="C19" s="386"/>
      <c r="D19" s="386"/>
      <c r="E19" s="386"/>
      <c r="F19" s="386"/>
      <c r="G19" s="386"/>
      <c r="H19" s="386"/>
      <c r="I19" s="386"/>
      <c r="J19" s="386"/>
      <c r="K19" s="386"/>
      <c r="L19" s="386"/>
      <c r="M19" s="387"/>
    </row>
    <row r="20" spans="1:13" ht="41.25" customHeight="1">
      <c r="A20" s="196" t="s">
        <v>319</v>
      </c>
      <c r="B20" s="276">
        <f>B21-14910</f>
        <v>3022</v>
      </c>
      <c r="C20" s="276">
        <f>C21-10089</f>
        <v>2350</v>
      </c>
      <c r="D20" s="277">
        <f>B20+C20</f>
        <v>5372</v>
      </c>
      <c r="E20" s="276">
        <f>E21-13323</f>
        <v>2048</v>
      </c>
      <c r="F20" s="276">
        <f>F21-9103</f>
        <v>1551</v>
      </c>
      <c r="G20" s="277">
        <f>E20+F20</f>
        <v>3599</v>
      </c>
      <c r="H20" s="276">
        <f>H21-771</f>
        <v>199</v>
      </c>
      <c r="I20" s="276">
        <f>I21-659</f>
        <v>171</v>
      </c>
      <c r="J20" s="277">
        <f>H20+I20</f>
        <v>370</v>
      </c>
      <c r="K20" s="384">
        <f>B21-E21-H21</f>
        <v>1591</v>
      </c>
      <c r="L20" s="384">
        <f>C21-F21-I21</f>
        <v>955</v>
      </c>
      <c r="M20" s="389">
        <f>D21-G21-J21</f>
        <v>2546</v>
      </c>
    </row>
    <row r="21" spans="1:13" ht="43.5" customHeight="1">
      <c r="A21" s="198" t="s">
        <v>320</v>
      </c>
      <c r="B21" s="212">
        <f>2971+500+14461</f>
        <v>17932</v>
      </c>
      <c r="C21" s="212">
        <f>1983+28+10428</f>
        <v>12439</v>
      </c>
      <c r="D21" s="277">
        <f>B21+C21</f>
        <v>30371</v>
      </c>
      <c r="E21" s="212">
        <f>2634+418+12319</f>
        <v>15371</v>
      </c>
      <c r="F21" s="212">
        <f>1718+22+8914</f>
        <v>10654</v>
      </c>
      <c r="G21" s="277">
        <f>E21+F21</f>
        <v>26025</v>
      </c>
      <c r="H21" s="212">
        <f>180+33+757</f>
        <v>970</v>
      </c>
      <c r="I21" s="212">
        <f>97+4+729</f>
        <v>830</v>
      </c>
      <c r="J21" s="277">
        <f>H21+I21</f>
        <v>1800</v>
      </c>
      <c r="K21" s="404"/>
      <c r="L21" s="404"/>
      <c r="M21" s="405"/>
    </row>
    <row r="22" spans="1:13" ht="19.5" customHeight="1">
      <c r="A22" s="385" t="s">
        <v>276</v>
      </c>
      <c r="B22" s="386"/>
      <c r="C22" s="386"/>
      <c r="D22" s="386"/>
      <c r="E22" s="386"/>
      <c r="F22" s="386"/>
      <c r="G22" s="386"/>
      <c r="H22" s="386"/>
      <c r="I22" s="386"/>
      <c r="J22" s="386"/>
      <c r="K22" s="386"/>
      <c r="L22" s="386"/>
      <c r="M22" s="387"/>
    </row>
    <row r="23" spans="1:13" ht="41.25" customHeight="1">
      <c r="A23" s="196" t="s">
        <v>319</v>
      </c>
      <c r="B23" s="308">
        <v>0</v>
      </c>
      <c r="C23" s="308">
        <v>0</v>
      </c>
      <c r="D23" s="307">
        <f>B23+C23</f>
        <v>0</v>
      </c>
      <c r="E23" s="308">
        <v>64</v>
      </c>
      <c r="F23" s="308">
        <v>51</v>
      </c>
      <c r="G23" s="307">
        <f>E23+F23</f>
        <v>115</v>
      </c>
      <c r="H23" s="308">
        <v>21</v>
      </c>
      <c r="I23" s="308">
        <v>9</v>
      </c>
      <c r="J23" s="307">
        <f>H23+I23</f>
        <v>30</v>
      </c>
      <c r="K23" s="383">
        <f>B24-E24-H24</f>
        <v>59</v>
      </c>
      <c r="L23" s="383">
        <f>C24-F24-I24</f>
        <v>28</v>
      </c>
      <c r="M23" s="388">
        <f>D24-G24-J24</f>
        <v>87</v>
      </c>
    </row>
    <row r="24" spans="1:13" ht="43.5" customHeight="1">
      <c r="A24" s="306" t="s">
        <v>320</v>
      </c>
      <c r="B24" s="309">
        <v>530</v>
      </c>
      <c r="C24" s="309">
        <v>480</v>
      </c>
      <c r="D24" s="307">
        <f>B24+C24</f>
        <v>1010</v>
      </c>
      <c r="E24" s="309">
        <v>404</v>
      </c>
      <c r="F24" s="309">
        <v>411</v>
      </c>
      <c r="G24" s="307">
        <f>E24+F24</f>
        <v>815</v>
      </c>
      <c r="H24" s="309">
        <v>67</v>
      </c>
      <c r="I24" s="309">
        <v>41</v>
      </c>
      <c r="J24" s="307">
        <f>H24+I24</f>
        <v>108</v>
      </c>
      <c r="K24" s="384"/>
      <c r="L24" s="384"/>
      <c r="M24" s="389"/>
    </row>
    <row r="25" spans="1:13" ht="21" customHeight="1">
      <c r="A25" s="385" t="s">
        <v>278</v>
      </c>
      <c r="B25" s="386"/>
      <c r="C25" s="386"/>
      <c r="D25" s="386"/>
      <c r="E25" s="386"/>
      <c r="F25" s="386"/>
      <c r="G25" s="386"/>
      <c r="H25" s="386"/>
      <c r="I25" s="386"/>
      <c r="J25" s="386"/>
      <c r="K25" s="386"/>
      <c r="L25" s="386"/>
      <c r="M25" s="387"/>
    </row>
    <row r="26" spans="1:13" ht="41.25" customHeight="1">
      <c r="A26" s="196" t="s">
        <v>319</v>
      </c>
      <c r="B26" s="308">
        <v>0</v>
      </c>
      <c r="C26" s="308">
        <v>0</v>
      </c>
      <c r="D26" s="307">
        <f>B26+C26</f>
        <v>0</v>
      </c>
      <c r="E26" s="308">
        <v>19</v>
      </c>
      <c r="F26" s="308">
        <v>21</v>
      </c>
      <c r="G26" s="307">
        <f>E26+F26</f>
        <v>40</v>
      </c>
      <c r="H26" s="308">
        <v>0</v>
      </c>
      <c r="I26" s="308">
        <v>0</v>
      </c>
      <c r="J26" s="307">
        <f>H26+I26</f>
        <v>0</v>
      </c>
      <c r="K26" s="383">
        <f>B27-E27-H27</f>
        <v>0</v>
      </c>
      <c r="L26" s="383">
        <f>C27-F27-I27</f>
        <v>0</v>
      </c>
      <c r="M26" s="388">
        <f>D27-G27-J27</f>
        <v>0</v>
      </c>
    </row>
    <row r="27" spans="1:13" ht="43.5" customHeight="1">
      <c r="A27" s="306" t="s">
        <v>320</v>
      </c>
      <c r="B27" s="309">
        <v>585</v>
      </c>
      <c r="C27" s="309">
        <v>262</v>
      </c>
      <c r="D27" s="307">
        <f>B27+C27</f>
        <v>847</v>
      </c>
      <c r="E27" s="309">
        <v>575</v>
      </c>
      <c r="F27" s="309">
        <v>249</v>
      </c>
      <c r="G27" s="307">
        <f>E27+F27</f>
        <v>824</v>
      </c>
      <c r="H27" s="309">
        <v>10</v>
      </c>
      <c r="I27" s="309">
        <v>13</v>
      </c>
      <c r="J27" s="307">
        <f>H27+I27</f>
        <v>23</v>
      </c>
      <c r="K27" s="384"/>
      <c r="L27" s="384"/>
      <c r="M27" s="389"/>
    </row>
    <row r="28" spans="1:13" ht="20.25" customHeight="1">
      <c r="A28" s="385" t="s">
        <v>415</v>
      </c>
      <c r="B28" s="386"/>
      <c r="C28" s="386"/>
      <c r="D28" s="386"/>
      <c r="E28" s="386"/>
      <c r="F28" s="386"/>
      <c r="G28" s="386"/>
      <c r="H28" s="386"/>
      <c r="I28" s="386"/>
      <c r="J28" s="386"/>
      <c r="K28" s="386"/>
      <c r="L28" s="386"/>
      <c r="M28" s="387"/>
    </row>
    <row r="29" spans="1:13" ht="41.25" customHeight="1">
      <c r="A29" s="196" t="s">
        <v>319</v>
      </c>
      <c r="B29" s="249">
        <f>B20+B23+B26</f>
        <v>3022</v>
      </c>
      <c r="C29" s="249">
        <f aca="true" t="shared" si="0" ref="C29:J29">C20+C23+C26</f>
        <v>2350</v>
      </c>
      <c r="D29" s="249">
        <f t="shared" si="0"/>
        <v>5372</v>
      </c>
      <c r="E29" s="249">
        <f t="shared" si="0"/>
        <v>2131</v>
      </c>
      <c r="F29" s="249">
        <f t="shared" si="0"/>
        <v>1623</v>
      </c>
      <c r="G29" s="249">
        <f t="shared" si="0"/>
        <v>3754</v>
      </c>
      <c r="H29" s="249">
        <f t="shared" si="0"/>
        <v>220</v>
      </c>
      <c r="I29" s="249">
        <f t="shared" si="0"/>
        <v>180</v>
      </c>
      <c r="J29" s="249">
        <f t="shared" si="0"/>
        <v>400</v>
      </c>
      <c r="K29" s="389">
        <f>B30-E30-H30</f>
        <v>1650</v>
      </c>
      <c r="L29" s="389">
        <f>C30-F30-I30</f>
        <v>983</v>
      </c>
      <c r="M29" s="389">
        <f>D30-G30-J30</f>
        <v>2633</v>
      </c>
    </row>
    <row r="30" spans="1:13" ht="43.5" customHeight="1">
      <c r="A30" s="198" t="s">
        <v>320</v>
      </c>
      <c r="B30" s="249">
        <f>B21+B24+B27</f>
        <v>19047</v>
      </c>
      <c r="C30" s="249">
        <f aca="true" t="shared" si="1" ref="C30:J30">C21+C24+C27</f>
        <v>13181</v>
      </c>
      <c r="D30" s="249">
        <f t="shared" si="1"/>
        <v>32228</v>
      </c>
      <c r="E30" s="249">
        <f t="shared" si="1"/>
        <v>16350</v>
      </c>
      <c r="F30" s="249">
        <f t="shared" si="1"/>
        <v>11314</v>
      </c>
      <c r="G30" s="249">
        <f t="shared" si="1"/>
        <v>27664</v>
      </c>
      <c r="H30" s="249">
        <f t="shared" si="1"/>
        <v>1047</v>
      </c>
      <c r="I30" s="249">
        <f t="shared" si="1"/>
        <v>884</v>
      </c>
      <c r="J30" s="249">
        <f t="shared" si="1"/>
        <v>1931</v>
      </c>
      <c r="K30" s="405"/>
      <c r="L30" s="405"/>
      <c r="M30" s="405"/>
    </row>
    <row r="31" spans="1:13" ht="20.25" customHeight="1">
      <c r="A31" s="206" t="s">
        <v>314</v>
      </c>
      <c r="B31" s="406"/>
      <c r="C31" s="406"/>
      <c r="D31" s="406"/>
      <c r="E31" s="406"/>
      <c r="F31" s="406"/>
      <c r="G31" s="406"/>
      <c r="H31" s="406"/>
      <c r="I31" s="406"/>
      <c r="J31" s="406"/>
      <c r="K31" s="406"/>
      <c r="L31" s="406"/>
      <c r="M31" s="406"/>
    </row>
    <row r="33" spans="1:2" ht="19.5" customHeight="1">
      <c r="A33" s="403" t="s">
        <v>309</v>
      </c>
      <c r="B33" s="403"/>
    </row>
    <row r="34" spans="1:7" ht="18.75" customHeight="1">
      <c r="A34" s="402" t="s">
        <v>310</v>
      </c>
      <c r="B34" s="402"/>
      <c r="C34" s="402"/>
      <c r="D34" s="402"/>
      <c r="E34" s="402"/>
      <c r="F34" s="402"/>
      <c r="G34" s="402"/>
    </row>
  </sheetData>
  <sheetProtection selectLockedCells="1" selectUnlockedCells="1"/>
  <mergeCells count="33">
    <mergeCell ref="A34:G34"/>
    <mergeCell ref="A33:B33"/>
    <mergeCell ref="K20:K21"/>
    <mergeCell ref="L20:L21"/>
    <mergeCell ref="M20:M21"/>
    <mergeCell ref="B31:M31"/>
    <mergeCell ref="K23:K24"/>
    <mergeCell ref="K29:K30"/>
    <mergeCell ref="L29:L30"/>
    <mergeCell ref="M29:M30"/>
    <mergeCell ref="A28:M28"/>
    <mergeCell ref="A19:M19"/>
    <mergeCell ref="A1:M1"/>
    <mergeCell ref="A11:M11"/>
    <mergeCell ref="A15:A17"/>
    <mergeCell ref="B15:M15"/>
    <mergeCell ref="B16:D16"/>
    <mergeCell ref="A12:M12"/>
    <mergeCell ref="A13:M13"/>
    <mergeCell ref="A9:M9"/>
    <mergeCell ref="E16:G16"/>
    <mergeCell ref="B3:M3"/>
    <mergeCell ref="B5:M5"/>
    <mergeCell ref="B7:M7"/>
    <mergeCell ref="H16:J16"/>
    <mergeCell ref="K16:M16"/>
    <mergeCell ref="L23:L24"/>
    <mergeCell ref="K26:K27"/>
    <mergeCell ref="L26:L27"/>
    <mergeCell ref="A22:M22"/>
    <mergeCell ref="M26:M27"/>
    <mergeCell ref="M23:M24"/>
    <mergeCell ref="A25:M25"/>
  </mergeCells>
  <printOptions/>
  <pageMargins left="0.5902777777777778" right="0.5902777777777778" top="0.984027777777778" bottom="0.9840277777777778" header="0.5118055555555556" footer="0.5118055555555556"/>
  <pageSetup horizontalDpi="300" verticalDpi="300" orientation="landscape" paperSize="9" scale="89" r:id="rId1"/>
</worksheet>
</file>

<file path=xl/worksheets/sheet3.xml><?xml version="1.0" encoding="utf-8"?>
<worksheet xmlns="http://schemas.openxmlformats.org/spreadsheetml/2006/main" xmlns:r="http://schemas.openxmlformats.org/officeDocument/2006/relationships">
  <dimension ref="A1:H100"/>
  <sheetViews>
    <sheetView zoomScalePageLayoutView="0" workbookViewId="0" topLeftCell="A87">
      <selection activeCell="J96" sqref="J96"/>
    </sheetView>
  </sheetViews>
  <sheetFormatPr defaultColWidth="9.140625" defaultRowHeight="12.75"/>
  <cols>
    <col min="1" max="1" width="5.00390625" style="187" customWidth="1"/>
    <col min="2" max="2" width="37.8515625" style="187" customWidth="1"/>
    <col min="3" max="8" width="8.7109375" style="187" customWidth="1"/>
    <col min="9" max="16384" width="9.140625" style="187" customWidth="1"/>
  </cols>
  <sheetData>
    <row r="1" spans="1:8" ht="29.25" customHeight="1">
      <c r="A1" s="407" t="s">
        <v>54</v>
      </c>
      <c r="B1" s="407"/>
      <c r="C1" s="407"/>
      <c r="D1" s="407"/>
      <c r="E1" s="407"/>
      <c r="F1" s="407"/>
      <c r="G1" s="407"/>
      <c r="H1" s="407"/>
    </row>
    <row r="2" spans="3:8" ht="12" customHeight="1">
      <c r="C2" s="203"/>
      <c r="D2" s="203"/>
      <c r="E2" s="203"/>
      <c r="F2" s="203"/>
      <c r="G2" s="203"/>
      <c r="H2" s="233"/>
    </row>
    <row r="3" spans="1:8" ht="115.5" customHeight="1">
      <c r="A3" s="408" t="s">
        <v>290</v>
      </c>
      <c r="B3" s="408"/>
      <c r="C3" s="409" t="s">
        <v>407</v>
      </c>
      <c r="D3" s="410"/>
      <c r="E3" s="410"/>
      <c r="F3" s="410"/>
      <c r="G3" s="410"/>
      <c r="H3" s="411"/>
    </row>
    <row r="4" spans="1:8" ht="15" customHeight="1">
      <c r="A4" s="234"/>
      <c r="B4" s="235"/>
      <c r="C4" s="233"/>
      <c r="D4" s="233"/>
      <c r="E4" s="233"/>
      <c r="F4" s="233"/>
      <c r="G4" s="233"/>
      <c r="H4" s="233"/>
    </row>
    <row r="5" spans="1:8" ht="15.75" customHeight="1">
      <c r="A5" s="412" t="s">
        <v>306</v>
      </c>
      <c r="B5" s="412"/>
      <c r="C5" s="392" t="s">
        <v>408</v>
      </c>
      <c r="D5" s="392"/>
      <c r="E5" s="392"/>
      <c r="F5" s="392"/>
      <c r="G5" s="392"/>
      <c r="H5" s="392"/>
    </row>
    <row r="6" spans="1:2" ht="15" customHeight="1">
      <c r="A6" s="234"/>
      <c r="B6" s="234"/>
    </row>
    <row r="7" spans="1:8" ht="16.5" customHeight="1">
      <c r="A7" s="408" t="s">
        <v>307</v>
      </c>
      <c r="B7" s="408"/>
      <c r="C7" s="392" t="s">
        <v>424</v>
      </c>
      <c r="D7" s="392"/>
      <c r="E7" s="392"/>
      <c r="F7" s="392"/>
      <c r="G7" s="392"/>
      <c r="H7" s="392"/>
    </row>
    <row r="8" spans="1:8" ht="15.75">
      <c r="A8" s="233"/>
      <c r="B8" s="233"/>
      <c r="C8" s="203"/>
      <c r="D8" s="203"/>
      <c r="E8" s="203"/>
      <c r="F8" s="203"/>
      <c r="G8" s="203"/>
      <c r="H8" s="203"/>
    </row>
    <row r="9" spans="1:8" ht="87.75" customHeight="1">
      <c r="A9" s="413" t="s">
        <v>412</v>
      </c>
      <c r="B9" s="413"/>
      <c r="C9" s="413"/>
      <c r="D9" s="413"/>
      <c r="E9" s="413"/>
      <c r="F9" s="413"/>
      <c r="G9" s="413"/>
      <c r="H9" s="413"/>
    </row>
    <row r="10" spans="1:8" s="236" customFormat="1" ht="82.5" customHeight="1">
      <c r="A10" s="413" t="s">
        <v>413</v>
      </c>
      <c r="B10" s="414"/>
      <c r="C10" s="414"/>
      <c r="D10" s="414"/>
      <c r="E10" s="414"/>
      <c r="F10" s="414"/>
      <c r="G10" s="414"/>
      <c r="H10" s="414"/>
    </row>
    <row r="11" spans="1:8" s="236" customFormat="1" ht="207" customHeight="1">
      <c r="A11" s="413" t="s">
        <v>414</v>
      </c>
      <c r="B11" s="414"/>
      <c r="C11" s="414"/>
      <c r="D11" s="414"/>
      <c r="E11" s="414"/>
      <c r="F11" s="414"/>
      <c r="G11" s="414"/>
      <c r="H11" s="414"/>
    </row>
    <row r="12" spans="1:8" s="236" customFormat="1" ht="19.5" customHeight="1">
      <c r="A12" s="237"/>
      <c r="B12" s="275"/>
      <c r="C12" s="275"/>
      <c r="D12" s="275"/>
      <c r="E12" s="275"/>
      <c r="F12" s="275"/>
      <c r="G12" s="275"/>
      <c r="H12" s="275"/>
    </row>
    <row r="13" spans="1:8" ht="15" customHeight="1">
      <c r="A13" s="415" t="s">
        <v>315</v>
      </c>
      <c r="B13" s="415"/>
      <c r="C13" s="415"/>
      <c r="D13" s="415"/>
      <c r="E13" s="415"/>
      <c r="F13" s="238"/>
      <c r="G13" s="238"/>
      <c r="H13" s="238"/>
    </row>
    <row r="14" spans="1:8" ht="13.5" customHeight="1">
      <c r="A14" s="395" t="s">
        <v>316</v>
      </c>
      <c r="B14" s="395"/>
      <c r="C14" s="395"/>
      <c r="D14" s="395"/>
      <c r="E14" s="395"/>
      <c r="F14" s="395"/>
      <c r="G14" s="395"/>
      <c r="H14" s="395"/>
    </row>
    <row r="15" spans="1:8" ht="15" customHeight="1">
      <c r="A15" s="395" t="s">
        <v>317</v>
      </c>
      <c r="B15" s="395"/>
      <c r="C15" s="395"/>
      <c r="D15" s="395"/>
      <c r="E15" s="395"/>
      <c r="F15" s="395"/>
      <c r="G15" s="395"/>
      <c r="H15" s="395"/>
    </row>
    <row r="16" spans="1:5" ht="15" customHeight="1" thickBot="1">
      <c r="A16" s="239"/>
      <c r="B16" s="240"/>
      <c r="C16" s="240"/>
      <c r="D16" s="240"/>
      <c r="E16" s="240"/>
    </row>
    <row r="17" spans="1:8" ht="12.75" customHeight="1">
      <c r="A17" s="416" t="s">
        <v>321</v>
      </c>
      <c r="B17" s="418" t="s">
        <v>322</v>
      </c>
      <c r="C17" s="420" t="s">
        <v>319</v>
      </c>
      <c r="D17" s="420"/>
      <c r="E17" s="420"/>
      <c r="F17" s="420" t="s">
        <v>320</v>
      </c>
      <c r="G17" s="420"/>
      <c r="H17" s="421"/>
    </row>
    <row r="18" spans="1:8" ht="15.75">
      <c r="A18" s="417"/>
      <c r="B18" s="419"/>
      <c r="C18" s="274" t="s">
        <v>312</v>
      </c>
      <c r="D18" s="274" t="s">
        <v>313</v>
      </c>
      <c r="E18" s="274" t="s">
        <v>308</v>
      </c>
      <c r="F18" s="274" t="s">
        <v>312</v>
      </c>
      <c r="G18" s="274" t="s">
        <v>313</v>
      </c>
      <c r="H18" s="213" t="s">
        <v>308</v>
      </c>
    </row>
    <row r="19" spans="1:8" ht="16.5" thickBot="1">
      <c r="A19" s="214">
        <v>1</v>
      </c>
      <c r="B19" s="215">
        <v>2</v>
      </c>
      <c r="C19" s="215">
        <v>3</v>
      </c>
      <c r="D19" s="215">
        <v>4</v>
      </c>
      <c r="E19" s="215">
        <v>5</v>
      </c>
      <c r="F19" s="215">
        <v>6</v>
      </c>
      <c r="G19" s="215">
        <v>7</v>
      </c>
      <c r="H19" s="216">
        <v>8</v>
      </c>
    </row>
    <row r="20" spans="1:8" ht="15.75">
      <c r="A20" s="422" t="s">
        <v>266</v>
      </c>
      <c r="B20" s="423"/>
      <c r="C20" s="423"/>
      <c r="D20" s="423"/>
      <c r="E20" s="423"/>
      <c r="F20" s="423"/>
      <c r="G20" s="423"/>
      <c r="H20" s="423"/>
    </row>
    <row r="21" spans="1:8" ht="24.75" customHeight="1">
      <c r="A21" s="292">
        <v>1</v>
      </c>
      <c r="B21" s="299" t="s">
        <v>323</v>
      </c>
      <c r="C21" s="300">
        <f>F21-13462</f>
        <v>2916</v>
      </c>
      <c r="D21" s="300">
        <f>G21-9516</f>
        <v>2262</v>
      </c>
      <c r="E21" s="300">
        <f>C21+D21</f>
        <v>5178</v>
      </c>
      <c r="F21" s="300">
        <f>1917+14461</f>
        <v>16378</v>
      </c>
      <c r="G21" s="300">
        <f>1350+10428</f>
        <v>11778</v>
      </c>
      <c r="H21" s="300">
        <f>F21+G21</f>
        <v>28156</v>
      </c>
    </row>
    <row r="22" spans="1:8" ht="24.75" customHeight="1">
      <c r="A22" s="293"/>
      <c r="B22" s="301" t="s">
        <v>324</v>
      </c>
      <c r="C22" s="302">
        <f>F22-4056</f>
        <v>1222</v>
      </c>
      <c r="D22" s="302">
        <f>G22-2209</f>
        <v>865</v>
      </c>
      <c r="E22" s="300">
        <f aca="true" t="shared" si="0" ref="E22:E38">C22+D22</f>
        <v>2087</v>
      </c>
      <c r="F22" s="302">
        <f>684+4594</f>
        <v>5278</v>
      </c>
      <c r="G22" s="302">
        <f>346+2728</f>
        <v>3074</v>
      </c>
      <c r="H22" s="300">
        <f aca="true" t="shared" si="1" ref="H22:H38">F22+G22</f>
        <v>8352</v>
      </c>
    </row>
    <row r="23" spans="1:8" ht="24.75" customHeight="1">
      <c r="A23" s="294">
        <v>2</v>
      </c>
      <c r="B23" s="303" t="s">
        <v>325</v>
      </c>
      <c r="C23" s="300">
        <f>F23-920</f>
        <v>72</v>
      </c>
      <c r="D23" s="300">
        <f>G23-532</f>
        <v>87</v>
      </c>
      <c r="E23" s="300">
        <f t="shared" si="0"/>
        <v>159</v>
      </c>
      <c r="F23" s="300">
        <v>992</v>
      </c>
      <c r="G23" s="300">
        <v>619</v>
      </c>
      <c r="H23" s="300">
        <f t="shared" si="1"/>
        <v>1611</v>
      </c>
    </row>
    <row r="24" spans="1:8" ht="24.75" customHeight="1">
      <c r="A24" s="295"/>
      <c r="B24" s="301" t="s">
        <v>326</v>
      </c>
      <c r="C24" s="302">
        <f>0</f>
        <v>0</v>
      </c>
      <c r="D24" s="302">
        <v>0</v>
      </c>
      <c r="E24" s="300">
        <f t="shared" si="0"/>
        <v>0</v>
      </c>
      <c r="F24" s="302">
        <v>82</v>
      </c>
      <c r="G24" s="302">
        <v>32</v>
      </c>
      <c r="H24" s="300">
        <f t="shared" si="1"/>
        <v>114</v>
      </c>
    </row>
    <row r="25" spans="1:8" ht="24.75" customHeight="1">
      <c r="A25" s="296">
        <v>3</v>
      </c>
      <c r="B25" s="299" t="s">
        <v>327</v>
      </c>
      <c r="C25" s="300">
        <f aca="true" t="shared" si="2" ref="C25:H25">SUM(C26:C33)</f>
        <v>34</v>
      </c>
      <c r="D25" s="300">
        <f t="shared" si="2"/>
        <v>1</v>
      </c>
      <c r="E25" s="300">
        <f t="shared" si="2"/>
        <v>35</v>
      </c>
      <c r="F25" s="300">
        <f t="shared" si="2"/>
        <v>562</v>
      </c>
      <c r="G25" s="300">
        <f t="shared" si="2"/>
        <v>42</v>
      </c>
      <c r="H25" s="300">
        <f t="shared" si="2"/>
        <v>604</v>
      </c>
    </row>
    <row r="26" spans="1:8" ht="30.75" customHeight="1">
      <c r="A26" s="297"/>
      <c r="B26" s="301" t="s">
        <v>375</v>
      </c>
      <c r="C26" s="302">
        <v>0</v>
      </c>
      <c r="D26" s="302">
        <v>0</v>
      </c>
      <c r="E26" s="300">
        <f t="shared" si="0"/>
        <v>0</v>
      </c>
      <c r="F26" s="302">
        <v>0</v>
      </c>
      <c r="G26" s="302">
        <v>0</v>
      </c>
      <c r="H26" s="300">
        <f t="shared" si="1"/>
        <v>0</v>
      </c>
    </row>
    <row r="27" spans="1:8" ht="30.75" customHeight="1">
      <c r="A27" s="297"/>
      <c r="B27" s="301" t="s">
        <v>328</v>
      </c>
      <c r="C27" s="302">
        <v>0</v>
      </c>
      <c r="D27" s="302">
        <v>0</v>
      </c>
      <c r="E27" s="300">
        <f t="shared" si="0"/>
        <v>0</v>
      </c>
      <c r="F27" s="302">
        <v>0</v>
      </c>
      <c r="G27" s="302">
        <v>0</v>
      </c>
      <c r="H27" s="300">
        <f t="shared" si="1"/>
        <v>0</v>
      </c>
    </row>
    <row r="28" spans="1:8" ht="31.5" customHeight="1">
      <c r="A28" s="297"/>
      <c r="B28" s="301" t="s">
        <v>329</v>
      </c>
      <c r="C28" s="302">
        <v>0</v>
      </c>
      <c r="D28" s="302">
        <v>0</v>
      </c>
      <c r="E28" s="300">
        <f t="shared" si="0"/>
        <v>0</v>
      </c>
      <c r="F28" s="302">
        <v>0</v>
      </c>
      <c r="G28" s="302">
        <v>0</v>
      </c>
      <c r="H28" s="300">
        <f t="shared" si="1"/>
        <v>0</v>
      </c>
    </row>
    <row r="29" spans="1:8" ht="30" customHeight="1">
      <c r="A29" s="297"/>
      <c r="B29" s="304" t="s">
        <v>225</v>
      </c>
      <c r="C29" s="302">
        <v>0</v>
      </c>
      <c r="D29" s="302">
        <v>0</v>
      </c>
      <c r="E29" s="300">
        <f t="shared" si="0"/>
        <v>0</v>
      </c>
      <c r="F29" s="302">
        <v>0</v>
      </c>
      <c r="G29" s="302">
        <v>0</v>
      </c>
      <c r="H29" s="300">
        <f t="shared" si="1"/>
        <v>0</v>
      </c>
    </row>
    <row r="30" spans="1:8" ht="30" customHeight="1">
      <c r="A30" s="297"/>
      <c r="B30" s="304" t="s">
        <v>226</v>
      </c>
      <c r="C30" s="302">
        <v>0</v>
      </c>
      <c r="D30" s="302">
        <v>0</v>
      </c>
      <c r="E30" s="300">
        <f t="shared" si="0"/>
        <v>0</v>
      </c>
      <c r="F30" s="302">
        <v>0</v>
      </c>
      <c r="G30" s="302">
        <v>0</v>
      </c>
      <c r="H30" s="300">
        <f t="shared" si="1"/>
        <v>0</v>
      </c>
    </row>
    <row r="31" spans="1:8" ht="30" customHeight="1">
      <c r="A31" s="297"/>
      <c r="B31" s="304" t="s">
        <v>330</v>
      </c>
      <c r="C31" s="302">
        <v>0</v>
      </c>
      <c r="D31" s="302">
        <v>0</v>
      </c>
      <c r="E31" s="300">
        <f t="shared" si="0"/>
        <v>0</v>
      </c>
      <c r="F31" s="302">
        <v>0</v>
      </c>
      <c r="G31" s="302">
        <v>0</v>
      </c>
      <c r="H31" s="300">
        <f t="shared" si="1"/>
        <v>0</v>
      </c>
    </row>
    <row r="32" spans="1:8" ht="30" customHeight="1">
      <c r="A32" s="297"/>
      <c r="B32" s="304" t="s">
        <v>210</v>
      </c>
      <c r="C32" s="302">
        <f>550-516</f>
        <v>34</v>
      </c>
      <c r="D32" s="302">
        <f>37-36</f>
        <v>1</v>
      </c>
      <c r="E32" s="300">
        <f t="shared" si="0"/>
        <v>35</v>
      </c>
      <c r="F32" s="302">
        <f>50+500</f>
        <v>550</v>
      </c>
      <c r="G32" s="302">
        <f>9+28</f>
        <v>37</v>
      </c>
      <c r="H32" s="300">
        <f t="shared" si="1"/>
        <v>587</v>
      </c>
    </row>
    <row r="33" spans="1:8" ht="25.5">
      <c r="A33" s="297"/>
      <c r="B33" s="304" t="s">
        <v>211</v>
      </c>
      <c r="C33" s="302">
        <v>0</v>
      </c>
      <c r="D33" s="302">
        <v>0</v>
      </c>
      <c r="E33" s="300">
        <f t="shared" si="0"/>
        <v>0</v>
      </c>
      <c r="F33" s="302">
        <v>12</v>
      </c>
      <c r="G33" s="302">
        <v>5</v>
      </c>
      <c r="H33" s="300">
        <f t="shared" si="1"/>
        <v>17</v>
      </c>
    </row>
    <row r="34" spans="1:8" s="241" customFormat="1" ht="24.75" customHeight="1">
      <c r="A34" s="296">
        <v>4</v>
      </c>
      <c r="B34" s="305" t="s">
        <v>308</v>
      </c>
      <c r="C34" s="300">
        <f aca="true" t="shared" si="3" ref="C34:H34">C25+C23+C21</f>
        <v>3022</v>
      </c>
      <c r="D34" s="300">
        <f t="shared" si="3"/>
        <v>2350</v>
      </c>
      <c r="E34" s="300">
        <f t="shared" si="3"/>
        <v>5372</v>
      </c>
      <c r="F34" s="300">
        <f t="shared" si="3"/>
        <v>17932</v>
      </c>
      <c r="G34" s="300">
        <f t="shared" si="3"/>
        <v>12439</v>
      </c>
      <c r="H34" s="300">
        <f t="shared" si="3"/>
        <v>30371</v>
      </c>
    </row>
    <row r="35" spans="1:8" s="241" customFormat="1" ht="26.25" customHeight="1">
      <c r="A35" s="297"/>
      <c r="B35" s="304" t="s">
        <v>296</v>
      </c>
      <c r="C35" s="302">
        <v>0</v>
      </c>
      <c r="D35" s="302">
        <v>0</v>
      </c>
      <c r="E35" s="300">
        <f t="shared" si="0"/>
        <v>0</v>
      </c>
      <c r="F35" s="302">
        <v>0</v>
      </c>
      <c r="G35" s="302">
        <v>0</v>
      </c>
      <c r="H35" s="300">
        <f t="shared" si="1"/>
        <v>0</v>
      </c>
    </row>
    <row r="36" spans="1:8" s="241" customFormat="1" ht="24.75" customHeight="1">
      <c r="A36" s="297"/>
      <c r="B36" s="304" t="s">
        <v>333</v>
      </c>
      <c r="C36" s="302">
        <v>0</v>
      </c>
      <c r="D36" s="302">
        <v>0</v>
      </c>
      <c r="E36" s="300">
        <f t="shared" si="0"/>
        <v>0</v>
      </c>
      <c r="F36" s="302">
        <v>0</v>
      </c>
      <c r="G36" s="302">
        <v>0</v>
      </c>
      <c r="H36" s="300">
        <f t="shared" si="1"/>
        <v>0</v>
      </c>
    </row>
    <row r="37" spans="1:8" s="241" customFormat="1" ht="24.75" customHeight="1">
      <c r="A37" s="297"/>
      <c r="B37" s="304" t="s">
        <v>332</v>
      </c>
      <c r="C37" s="302">
        <f>F37-1228</f>
        <v>407</v>
      </c>
      <c r="D37" s="302">
        <f>G37-699</f>
        <v>234</v>
      </c>
      <c r="E37" s="300">
        <f t="shared" si="0"/>
        <v>641</v>
      </c>
      <c r="F37" s="302">
        <f>542+13+1080</f>
        <v>1635</v>
      </c>
      <c r="G37" s="302">
        <f>346+0+587</f>
        <v>933</v>
      </c>
      <c r="H37" s="300">
        <f t="shared" si="1"/>
        <v>2568</v>
      </c>
    </row>
    <row r="38" spans="1:8" s="241" customFormat="1" ht="24.75" customHeight="1">
      <c r="A38" s="298"/>
      <c r="B38" s="304" t="s">
        <v>221</v>
      </c>
      <c r="C38" s="302">
        <f>F38-5250</f>
        <v>1073</v>
      </c>
      <c r="D38" s="302">
        <f>G38-3757</f>
        <v>834</v>
      </c>
      <c r="E38" s="300">
        <f t="shared" si="0"/>
        <v>1907</v>
      </c>
      <c r="F38" s="302">
        <f>897+115+5311</f>
        <v>6323</v>
      </c>
      <c r="G38" s="302">
        <f>659+7+3925</f>
        <v>4591</v>
      </c>
      <c r="H38" s="300">
        <f t="shared" si="1"/>
        <v>10914</v>
      </c>
    </row>
    <row r="39" spans="1:8" ht="15.75">
      <c r="A39" s="422" t="s">
        <v>276</v>
      </c>
      <c r="B39" s="423"/>
      <c r="C39" s="423"/>
      <c r="D39" s="423"/>
      <c r="E39" s="423"/>
      <c r="F39" s="423"/>
      <c r="G39" s="423"/>
      <c r="H39" s="423"/>
    </row>
    <row r="40" spans="1:8" ht="24.75" customHeight="1">
      <c r="A40" s="217">
        <v>1</v>
      </c>
      <c r="B40" s="218" t="s">
        <v>323</v>
      </c>
      <c r="C40" s="219">
        <v>0</v>
      </c>
      <c r="D40" s="219">
        <v>0</v>
      </c>
      <c r="E40" s="219">
        <f>C40+D40</f>
        <v>0</v>
      </c>
      <c r="F40" s="219">
        <v>244</v>
      </c>
      <c r="G40" s="219">
        <v>252</v>
      </c>
      <c r="H40" s="219">
        <f>F40+G40</f>
        <v>496</v>
      </c>
    </row>
    <row r="41" spans="1:8" ht="24.75" customHeight="1">
      <c r="A41" s="220"/>
      <c r="B41" s="221" t="s">
        <v>324</v>
      </c>
      <c r="C41" s="222">
        <v>0</v>
      </c>
      <c r="D41" s="222">
        <v>0</v>
      </c>
      <c r="E41" s="219">
        <f>C41+D41</f>
        <v>0</v>
      </c>
      <c r="F41" s="222">
        <v>99</v>
      </c>
      <c r="G41" s="222">
        <v>94</v>
      </c>
      <c r="H41" s="219">
        <f>F41+G41</f>
        <v>193</v>
      </c>
    </row>
    <row r="42" spans="1:8" ht="24.75" customHeight="1">
      <c r="A42" s="223">
        <v>2</v>
      </c>
      <c r="B42" s="224" t="s">
        <v>325</v>
      </c>
      <c r="C42" s="225">
        <v>0</v>
      </c>
      <c r="D42" s="225">
        <v>0</v>
      </c>
      <c r="E42" s="219">
        <f>C42+D42</f>
        <v>0</v>
      </c>
      <c r="F42" s="225">
        <v>109</v>
      </c>
      <c r="G42" s="225">
        <v>113</v>
      </c>
      <c r="H42" s="219">
        <f>F42+G42</f>
        <v>222</v>
      </c>
    </row>
    <row r="43" spans="1:8" ht="24.75" customHeight="1">
      <c r="A43" s="226"/>
      <c r="B43" s="221" t="s">
        <v>326</v>
      </c>
      <c r="C43" s="222">
        <v>0</v>
      </c>
      <c r="D43" s="222">
        <v>0</v>
      </c>
      <c r="E43" s="219">
        <f>C43+D43</f>
        <v>0</v>
      </c>
      <c r="F43" s="222">
        <v>40</v>
      </c>
      <c r="G43" s="222">
        <v>52</v>
      </c>
      <c r="H43" s="219">
        <f>F43+G43</f>
        <v>92</v>
      </c>
    </row>
    <row r="44" spans="1:8" ht="24.75" customHeight="1">
      <c r="A44" s="227">
        <v>3</v>
      </c>
      <c r="B44" s="228" t="s">
        <v>327</v>
      </c>
      <c r="C44" s="225">
        <f aca="true" t="shared" si="4" ref="C44:H44">SUM(C45:C52)</f>
        <v>0</v>
      </c>
      <c r="D44" s="225">
        <f t="shared" si="4"/>
        <v>0</v>
      </c>
      <c r="E44" s="225">
        <f t="shared" si="4"/>
        <v>0</v>
      </c>
      <c r="F44" s="225">
        <f t="shared" si="4"/>
        <v>177</v>
      </c>
      <c r="G44" s="225">
        <f t="shared" si="4"/>
        <v>115</v>
      </c>
      <c r="H44" s="225">
        <f t="shared" si="4"/>
        <v>292</v>
      </c>
    </row>
    <row r="45" spans="1:8" ht="30.75" customHeight="1">
      <c r="A45" s="229"/>
      <c r="B45" s="230" t="s">
        <v>375</v>
      </c>
      <c r="C45" s="222">
        <v>0</v>
      </c>
      <c r="D45" s="222">
        <v>0</v>
      </c>
      <c r="E45" s="219">
        <f aca="true" t="shared" si="5" ref="E45:E52">C45+D45</f>
        <v>0</v>
      </c>
      <c r="F45" s="222">
        <v>1</v>
      </c>
      <c r="G45" s="222">
        <v>6</v>
      </c>
      <c r="H45" s="219">
        <f aca="true" t="shared" si="6" ref="H45:H52">F45+G45</f>
        <v>7</v>
      </c>
    </row>
    <row r="46" spans="1:8" ht="30.75" customHeight="1">
      <c r="A46" s="229"/>
      <c r="B46" s="230" t="s">
        <v>328</v>
      </c>
      <c r="C46" s="222">
        <v>0</v>
      </c>
      <c r="D46" s="222">
        <v>0</v>
      </c>
      <c r="E46" s="219">
        <f t="shared" si="5"/>
        <v>0</v>
      </c>
      <c r="F46" s="222">
        <v>0</v>
      </c>
      <c r="G46" s="222">
        <v>0</v>
      </c>
      <c r="H46" s="219">
        <f t="shared" si="6"/>
        <v>0</v>
      </c>
    </row>
    <row r="47" spans="1:8" ht="31.5" customHeight="1">
      <c r="A47" s="229"/>
      <c r="B47" s="230" t="s">
        <v>329</v>
      </c>
      <c r="C47" s="222">
        <v>0</v>
      </c>
      <c r="D47" s="222">
        <v>0</v>
      </c>
      <c r="E47" s="219">
        <f t="shared" si="5"/>
        <v>0</v>
      </c>
      <c r="F47" s="222">
        <v>46</v>
      </c>
      <c r="G47" s="222">
        <v>26</v>
      </c>
      <c r="H47" s="219">
        <f t="shared" si="6"/>
        <v>72</v>
      </c>
    </row>
    <row r="48" spans="1:8" ht="30" customHeight="1">
      <c r="A48" s="229"/>
      <c r="B48" s="231" t="s">
        <v>225</v>
      </c>
      <c r="C48" s="222">
        <v>0</v>
      </c>
      <c r="D48" s="222">
        <v>0</v>
      </c>
      <c r="E48" s="219">
        <f t="shared" si="5"/>
        <v>0</v>
      </c>
      <c r="F48" s="222">
        <v>22</v>
      </c>
      <c r="G48" s="222">
        <v>26</v>
      </c>
      <c r="H48" s="219">
        <f t="shared" si="6"/>
        <v>48</v>
      </c>
    </row>
    <row r="49" spans="1:8" ht="30" customHeight="1">
      <c r="A49" s="229"/>
      <c r="B49" s="231" t="s">
        <v>226</v>
      </c>
      <c r="C49" s="222">
        <v>0</v>
      </c>
      <c r="D49" s="222">
        <v>0</v>
      </c>
      <c r="E49" s="219">
        <f t="shared" si="5"/>
        <v>0</v>
      </c>
      <c r="F49" s="222">
        <v>25</v>
      </c>
      <c r="G49" s="222">
        <v>14</v>
      </c>
      <c r="H49" s="219">
        <f t="shared" si="6"/>
        <v>39</v>
      </c>
    </row>
    <row r="50" spans="1:8" ht="30" customHeight="1">
      <c r="A50" s="229"/>
      <c r="B50" s="231" t="s">
        <v>330</v>
      </c>
      <c r="C50" s="222">
        <v>0</v>
      </c>
      <c r="D50" s="222">
        <v>0</v>
      </c>
      <c r="E50" s="219">
        <f t="shared" si="5"/>
        <v>0</v>
      </c>
      <c r="F50" s="222">
        <v>31</v>
      </c>
      <c r="G50" s="222">
        <v>20</v>
      </c>
      <c r="H50" s="219">
        <f t="shared" si="6"/>
        <v>51</v>
      </c>
    </row>
    <row r="51" spans="1:8" ht="30" customHeight="1">
      <c r="A51" s="229"/>
      <c r="B51" s="231" t="s">
        <v>210</v>
      </c>
      <c r="C51" s="222">
        <v>0</v>
      </c>
      <c r="D51" s="222">
        <v>0</v>
      </c>
      <c r="E51" s="219">
        <f t="shared" si="5"/>
        <v>0</v>
      </c>
      <c r="F51" s="222">
        <v>52</v>
      </c>
      <c r="G51" s="222">
        <v>22</v>
      </c>
      <c r="H51" s="219">
        <f t="shared" si="6"/>
        <v>74</v>
      </c>
    </row>
    <row r="52" spans="1:8" ht="25.5">
      <c r="A52" s="229"/>
      <c r="B52" s="231" t="s">
        <v>211</v>
      </c>
      <c r="C52" s="222">
        <f>0</f>
        <v>0</v>
      </c>
      <c r="D52" s="222">
        <v>0</v>
      </c>
      <c r="E52" s="219">
        <f t="shared" si="5"/>
        <v>0</v>
      </c>
      <c r="F52" s="222">
        <v>0</v>
      </c>
      <c r="G52" s="222">
        <v>1</v>
      </c>
      <c r="H52" s="219">
        <f t="shared" si="6"/>
        <v>1</v>
      </c>
    </row>
    <row r="53" spans="1:8" s="241" customFormat="1" ht="24.75" customHeight="1">
      <c r="A53" s="227">
        <v>4</v>
      </c>
      <c r="B53" s="232" t="s">
        <v>308</v>
      </c>
      <c r="C53" s="225">
        <f aca="true" t="shared" si="7" ref="C53:H53">C44+C42+C40</f>
        <v>0</v>
      </c>
      <c r="D53" s="225">
        <f t="shared" si="7"/>
        <v>0</v>
      </c>
      <c r="E53" s="225">
        <f t="shared" si="7"/>
        <v>0</v>
      </c>
      <c r="F53" s="225">
        <f t="shared" si="7"/>
        <v>530</v>
      </c>
      <c r="G53" s="225">
        <f t="shared" si="7"/>
        <v>480</v>
      </c>
      <c r="H53" s="225">
        <f t="shared" si="7"/>
        <v>1010</v>
      </c>
    </row>
    <row r="54" spans="1:8" s="241" customFormat="1" ht="26.25" customHeight="1">
      <c r="A54" s="229"/>
      <c r="B54" s="231" t="s">
        <v>296</v>
      </c>
      <c r="C54" s="222">
        <v>0</v>
      </c>
      <c r="D54" s="222">
        <v>0</v>
      </c>
      <c r="E54" s="219">
        <f>C54+D54</f>
        <v>0</v>
      </c>
      <c r="F54" s="222">
        <v>0</v>
      </c>
      <c r="G54" s="222">
        <v>0</v>
      </c>
      <c r="H54" s="219">
        <f>F54+G54</f>
        <v>0</v>
      </c>
    </row>
    <row r="55" spans="1:8" s="241" customFormat="1" ht="24.75" customHeight="1">
      <c r="A55" s="229"/>
      <c r="B55" s="231" t="s">
        <v>333</v>
      </c>
      <c r="C55" s="222">
        <v>0</v>
      </c>
      <c r="D55" s="222">
        <v>0</v>
      </c>
      <c r="E55" s="219">
        <f>C55+D55</f>
        <v>0</v>
      </c>
      <c r="F55" s="222">
        <v>0</v>
      </c>
      <c r="G55" s="222">
        <v>0</v>
      </c>
      <c r="H55" s="219">
        <f>F55+G55</f>
        <v>0</v>
      </c>
    </row>
    <row r="56" spans="1:8" s="241" customFormat="1" ht="24.75" customHeight="1">
      <c r="A56" s="229"/>
      <c r="B56" s="231" t="s">
        <v>332</v>
      </c>
      <c r="C56" s="222">
        <v>0</v>
      </c>
      <c r="D56" s="222">
        <v>0</v>
      </c>
      <c r="E56" s="219">
        <f>C56+D56</f>
        <v>0</v>
      </c>
      <c r="F56" s="222">
        <v>61</v>
      </c>
      <c r="G56" s="222">
        <v>51</v>
      </c>
      <c r="H56" s="219">
        <f>F56+G56</f>
        <v>112</v>
      </c>
    </row>
    <row r="57" spans="1:8" s="241" customFormat="1" ht="24.75" customHeight="1">
      <c r="A57" s="197"/>
      <c r="B57" s="231" t="s">
        <v>221</v>
      </c>
      <c r="C57" s="222">
        <v>0</v>
      </c>
      <c r="D57" s="222">
        <v>0</v>
      </c>
      <c r="E57" s="219">
        <f>C57+D57</f>
        <v>0</v>
      </c>
      <c r="F57" s="222">
        <v>243</v>
      </c>
      <c r="G57" s="222">
        <v>203</v>
      </c>
      <c r="H57" s="219">
        <f>F57+G57</f>
        <v>446</v>
      </c>
    </row>
    <row r="58" spans="1:8" ht="15.75">
      <c r="A58" s="422" t="s">
        <v>278</v>
      </c>
      <c r="B58" s="423"/>
      <c r="C58" s="423"/>
      <c r="D58" s="423"/>
      <c r="E58" s="423"/>
      <c r="F58" s="423"/>
      <c r="G58" s="423"/>
      <c r="H58" s="423"/>
    </row>
    <row r="59" spans="1:8" ht="24.75" customHeight="1">
      <c r="A59" s="217">
        <v>1</v>
      </c>
      <c r="B59" s="218" t="s">
        <v>323</v>
      </c>
      <c r="C59" s="219">
        <v>0</v>
      </c>
      <c r="D59" s="219">
        <v>0</v>
      </c>
      <c r="E59" s="219">
        <f>C59+D59</f>
        <v>0</v>
      </c>
      <c r="F59" s="219">
        <v>341</v>
      </c>
      <c r="G59" s="219">
        <v>149</v>
      </c>
      <c r="H59" s="219">
        <f>F59+G59</f>
        <v>490</v>
      </c>
    </row>
    <row r="60" spans="1:8" ht="24.75" customHeight="1">
      <c r="A60" s="220"/>
      <c r="B60" s="221" t="s">
        <v>324</v>
      </c>
      <c r="C60" s="222">
        <v>0</v>
      </c>
      <c r="D60" s="222">
        <v>0</v>
      </c>
      <c r="E60" s="219">
        <f>C60+D60</f>
        <v>0</v>
      </c>
      <c r="F60" s="222">
        <v>151</v>
      </c>
      <c r="G60" s="222">
        <v>32</v>
      </c>
      <c r="H60" s="219">
        <f>F60+G60</f>
        <v>183</v>
      </c>
    </row>
    <row r="61" spans="1:8" ht="24.75" customHeight="1">
      <c r="A61" s="223">
        <v>2</v>
      </c>
      <c r="B61" s="224" t="s">
        <v>325</v>
      </c>
      <c r="C61" s="225">
        <v>0</v>
      </c>
      <c r="D61" s="225">
        <v>0</v>
      </c>
      <c r="E61" s="219">
        <f>C61+D61</f>
        <v>0</v>
      </c>
      <c r="F61" s="225">
        <v>166</v>
      </c>
      <c r="G61" s="225">
        <v>58</v>
      </c>
      <c r="H61" s="219">
        <f>F61+G61</f>
        <v>224</v>
      </c>
    </row>
    <row r="62" spans="1:8" ht="24.75" customHeight="1">
      <c r="A62" s="226"/>
      <c r="B62" s="221" t="s">
        <v>326</v>
      </c>
      <c r="C62" s="222">
        <v>0</v>
      </c>
      <c r="D62" s="222">
        <f>19-19</f>
        <v>0</v>
      </c>
      <c r="E62" s="219">
        <f>C62+D62</f>
        <v>0</v>
      </c>
      <c r="F62" s="222">
        <v>34</v>
      </c>
      <c r="G62" s="222">
        <v>19</v>
      </c>
      <c r="H62" s="219">
        <f>F62+G62</f>
        <v>53</v>
      </c>
    </row>
    <row r="63" spans="1:8" ht="24.75" customHeight="1">
      <c r="A63" s="227">
        <v>3</v>
      </c>
      <c r="B63" s="228" t="s">
        <v>327</v>
      </c>
      <c r="C63" s="225">
        <f aca="true" t="shared" si="8" ref="C63:H63">SUM(C64:C71)</f>
        <v>0</v>
      </c>
      <c r="D63" s="225">
        <f t="shared" si="8"/>
        <v>0</v>
      </c>
      <c r="E63" s="225">
        <f t="shared" si="8"/>
        <v>0</v>
      </c>
      <c r="F63" s="225">
        <f t="shared" si="8"/>
        <v>78</v>
      </c>
      <c r="G63" s="225">
        <f t="shared" si="8"/>
        <v>55</v>
      </c>
      <c r="H63" s="225">
        <f t="shared" si="8"/>
        <v>133</v>
      </c>
    </row>
    <row r="64" spans="1:8" ht="30.75" customHeight="1">
      <c r="A64" s="229"/>
      <c r="B64" s="230" t="s">
        <v>375</v>
      </c>
      <c r="C64" s="222">
        <v>0</v>
      </c>
      <c r="D64" s="222">
        <v>0</v>
      </c>
      <c r="E64" s="219">
        <f aca="true" t="shared" si="9" ref="E64:E71">C64+D64</f>
        <v>0</v>
      </c>
      <c r="F64" s="222">
        <v>36</v>
      </c>
      <c r="G64" s="222">
        <v>16</v>
      </c>
      <c r="H64" s="219">
        <f aca="true" t="shared" si="10" ref="H64:H71">F64+G64</f>
        <v>52</v>
      </c>
    </row>
    <row r="65" spans="1:8" ht="30.75" customHeight="1">
      <c r="A65" s="229"/>
      <c r="B65" s="230" t="s">
        <v>328</v>
      </c>
      <c r="C65" s="222">
        <v>0</v>
      </c>
      <c r="D65" s="222">
        <v>0</v>
      </c>
      <c r="E65" s="219">
        <f t="shared" si="9"/>
        <v>0</v>
      </c>
      <c r="F65" s="222">
        <v>3</v>
      </c>
      <c r="G65" s="222">
        <v>5</v>
      </c>
      <c r="H65" s="219">
        <f t="shared" si="10"/>
        <v>8</v>
      </c>
    </row>
    <row r="66" spans="1:8" ht="31.5" customHeight="1">
      <c r="A66" s="229"/>
      <c r="B66" s="230" t="s">
        <v>329</v>
      </c>
      <c r="C66" s="222">
        <v>0</v>
      </c>
      <c r="D66" s="222">
        <v>0</v>
      </c>
      <c r="E66" s="219">
        <f t="shared" si="9"/>
        <v>0</v>
      </c>
      <c r="F66" s="222">
        <v>3</v>
      </c>
      <c r="G66" s="222">
        <v>8</v>
      </c>
      <c r="H66" s="219">
        <f t="shared" si="10"/>
        <v>11</v>
      </c>
    </row>
    <row r="67" spans="1:8" ht="30" customHeight="1">
      <c r="A67" s="229"/>
      <c r="B67" s="231" t="s">
        <v>225</v>
      </c>
      <c r="C67" s="222">
        <v>0</v>
      </c>
      <c r="D67" s="222">
        <v>0</v>
      </c>
      <c r="E67" s="219">
        <f t="shared" si="9"/>
        <v>0</v>
      </c>
      <c r="F67" s="222">
        <v>6</v>
      </c>
      <c r="G67" s="222">
        <v>8</v>
      </c>
      <c r="H67" s="219">
        <f t="shared" si="10"/>
        <v>14</v>
      </c>
    </row>
    <row r="68" spans="1:8" ht="30" customHeight="1">
      <c r="A68" s="229"/>
      <c r="B68" s="231" t="s">
        <v>226</v>
      </c>
      <c r="C68" s="222">
        <v>0</v>
      </c>
      <c r="D68" s="222">
        <v>0</v>
      </c>
      <c r="E68" s="219">
        <f t="shared" si="9"/>
        <v>0</v>
      </c>
      <c r="F68" s="222">
        <v>8</v>
      </c>
      <c r="G68" s="222">
        <v>3</v>
      </c>
      <c r="H68" s="219">
        <f t="shared" si="10"/>
        <v>11</v>
      </c>
    </row>
    <row r="69" spans="1:8" ht="30" customHeight="1">
      <c r="A69" s="229"/>
      <c r="B69" s="231" t="s">
        <v>330</v>
      </c>
      <c r="C69" s="222">
        <v>0</v>
      </c>
      <c r="D69" s="222">
        <v>0</v>
      </c>
      <c r="E69" s="219">
        <f t="shared" si="9"/>
        <v>0</v>
      </c>
      <c r="F69" s="222">
        <v>6</v>
      </c>
      <c r="G69" s="222">
        <v>8</v>
      </c>
      <c r="H69" s="219">
        <f t="shared" si="10"/>
        <v>14</v>
      </c>
    </row>
    <row r="70" spans="1:8" ht="30" customHeight="1">
      <c r="A70" s="229"/>
      <c r="B70" s="231" t="s">
        <v>210</v>
      </c>
      <c r="C70" s="222">
        <v>0</v>
      </c>
      <c r="D70" s="222">
        <v>0</v>
      </c>
      <c r="E70" s="219">
        <f t="shared" si="9"/>
        <v>0</v>
      </c>
      <c r="F70" s="222">
        <v>15</v>
      </c>
      <c r="G70" s="222">
        <v>7</v>
      </c>
      <c r="H70" s="219">
        <f t="shared" si="10"/>
        <v>22</v>
      </c>
    </row>
    <row r="71" spans="1:8" ht="25.5">
      <c r="A71" s="229"/>
      <c r="B71" s="231" t="s">
        <v>211</v>
      </c>
      <c r="C71" s="222">
        <v>0</v>
      </c>
      <c r="D71" s="222">
        <v>0</v>
      </c>
      <c r="E71" s="219">
        <f t="shared" si="9"/>
        <v>0</v>
      </c>
      <c r="F71" s="222">
        <v>1</v>
      </c>
      <c r="G71" s="222">
        <v>0</v>
      </c>
      <c r="H71" s="219">
        <f t="shared" si="10"/>
        <v>1</v>
      </c>
    </row>
    <row r="72" spans="1:8" s="241" customFormat="1" ht="24.75" customHeight="1">
      <c r="A72" s="227">
        <v>4</v>
      </c>
      <c r="B72" s="232" t="s">
        <v>308</v>
      </c>
      <c r="C72" s="225">
        <f aca="true" t="shared" si="11" ref="C72:H72">C63+C61+C59</f>
        <v>0</v>
      </c>
      <c r="D72" s="225">
        <f t="shared" si="11"/>
        <v>0</v>
      </c>
      <c r="E72" s="225">
        <f t="shared" si="11"/>
        <v>0</v>
      </c>
      <c r="F72" s="225">
        <f t="shared" si="11"/>
        <v>585</v>
      </c>
      <c r="G72" s="225">
        <f t="shared" si="11"/>
        <v>262</v>
      </c>
      <c r="H72" s="225">
        <f t="shared" si="11"/>
        <v>847</v>
      </c>
    </row>
    <row r="73" spans="1:8" s="241" customFormat="1" ht="26.25" customHeight="1">
      <c r="A73" s="229"/>
      <c r="B73" s="231" t="s">
        <v>296</v>
      </c>
      <c r="C73" s="222">
        <v>0</v>
      </c>
      <c r="D73" s="222">
        <v>0</v>
      </c>
      <c r="E73" s="219">
        <f>C73+D73</f>
        <v>0</v>
      </c>
      <c r="F73" s="222">
        <v>0</v>
      </c>
      <c r="G73" s="222">
        <v>0</v>
      </c>
      <c r="H73" s="219">
        <f>F73+G73</f>
        <v>0</v>
      </c>
    </row>
    <row r="74" spans="1:8" s="241" customFormat="1" ht="24.75" customHeight="1">
      <c r="A74" s="229"/>
      <c r="B74" s="231" t="s">
        <v>333</v>
      </c>
      <c r="C74" s="222">
        <v>0</v>
      </c>
      <c r="D74" s="222">
        <v>0</v>
      </c>
      <c r="E74" s="219">
        <f>C74+D74</f>
        <v>0</v>
      </c>
      <c r="F74" s="222">
        <v>0</v>
      </c>
      <c r="G74" s="222">
        <v>0</v>
      </c>
      <c r="H74" s="219">
        <f>F74+G74</f>
        <v>0</v>
      </c>
    </row>
    <row r="75" spans="1:8" s="241" customFormat="1" ht="24.75" customHeight="1">
      <c r="A75" s="229"/>
      <c r="B75" s="231" t="s">
        <v>332</v>
      </c>
      <c r="C75" s="222">
        <v>0</v>
      </c>
      <c r="D75" s="222">
        <v>0</v>
      </c>
      <c r="E75" s="219">
        <f>C75+D75</f>
        <v>0</v>
      </c>
      <c r="F75" s="222">
        <v>29</v>
      </c>
      <c r="G75" s="222">
        <v>10</v>
      </c>
      <c r="H75" s="219">
        <f>F75+G75</f>
        <v>39</v>
      </c>
    </row>
    <row r="76" spans="1:8" s="241" customFormat="1" ht="24.75" customHeight="1">
      <c r="A76" s="197"/>
      <c r="B76" s="231" t="s">
        <v>221</v>
      </c>
      <c r="C76" s="222">
        <v>0</v>
      </c>
      <c r="D76" s="222">
        <v>0</v>
      </c>
      <c r="E76" s="219">
        <f>C76+D76</f>
        <v>0</v>
      </c>
      <c r="F76" s="222">
        <v>514</v>
      </c>
      <c r="G76" s="222">
        <v>201</v>
      </c>
      <c r="H76" s="219">
        <f>F76+G76</f>
        <v>715</v>
      </c>
    </row>
    <row r="77" spans="1:8" ht="15.75">
      <c r="A77" s="422" t="s">
        <v>415</v>
      </c>
      <c r="B77" s="423"/>
      <c r="C77" s="423"/>
      <c r="D77" s="423"/>
      <c r="E77" s="423"/>
      <c r="F77" s="423"/>
      <c r="G77" s="423"/>
      <c r="H77" s="423"/>
    </row>
    <row r="78" spans="1:8" ht="24.75" customHeight="1">
      <c r="A78" s="217">
        <v>1</v>
      </c>
      <c r="B78" s="218" t="s">
        <v>323</v>
      </c>
      <c r="C78" s="219">
        <f aca="true" t="shared" si="12" ref="C78:H93">C21+C40+C59</f>
        <v>2916</v>
      </c>
      <c r="D78" s="219">
        <f t="shared" si="12"/>
        <v>2262</v>
      </c>
      <c r="E78" s="219">
        <f t="shared" si="12"/>
        <v>5178</v>
      </c>
      <c r="F78" s="219">
        <f t="shared" si="12"/>
        <v>16963</v>
      </c>
      <c r="G78" s="219">
        <f t="shared" si="12"/>
        <v>12179</v>
      </c>
      <c r="H78" s="219">
        <f t="shared" si="12"/>
        <v>29142</v>
      </c>
    </row>
    <row r="79" spans="1:8" ht="24.75" customHeight="1">
      <c r="A79" s="220"/>
      <c r="B79" s="221" t="s">
        <v>324</v>
      </c>
      <c r="C79" s="219">
        <f t="shared" si="12"/>
        <v>1222</v>
      </c>
      <c r="D79" s="219">
        <f t="shared" si="12"/>
        <v>865</v>
      </c>
      <c r="E79" s="219">
        <f>C79+D79</f>
        <v>2087</v>
      </c>
      <c r="F79" s="219">
        <f t="shared" si="12"/>
        <v>5528</v>
      </c>
      <c r="G79" s="219">
        <f t="shared" si="12"/>
        <v>3200</v>
      </c>
      <c r="H79" s="219">
        <f>F79+G79</f>
        <v>8728</v>
      </c>
    </row>
    <row r="80" spans="1:8" ht="24.75" customHeight="1">
      <c r="A80" s="223">
        <v>2</v>
      </c>
      <c r="B80" s="224" t="s">
        <v>325</v>
      </c>
      <c r="C80" s="219">
        <f t="shared" si="12"/>
        <v>72</v>
      </c>
      <c r="D80" s="219">
        <f t="shared" si="12"/>
        <v>87</v>
      </c>
      <c r="E80" s="219">
        <f>C80+D80</f>
        <v>159</v>
      </c>
      <c r="F80" s="219">
        <f t="shared" si="12"/>
        <v>1267</v>
      </c>
      <c r="G80" s="219">
        <f t="shared" si="12"/>
        <v>790</v>
      </c>
      <c r="H80" s="219">
        <f>F80+G80</f>
        <v>2057</v>
      </c>
    </row>
    <row r="81" spans="1:8" ht="24.75" customHeight="1">
      <c r="A81" s="226"/>
      <c r="B81" s="221" t="s">
        <v>326</v>
      </c>
      <c r="C81" s="219">
        <f t="shared" si="12"/>
        <v>0</v>
      </c>
      <c r="D81" s="219">
        <f t="shared" si="12"/>
        <v>0</v>
      </c>
      <c r="E81" s="219">
        <f>C81+D81</f>
        <v>0</v>
      </c>
      <c r="F81" s="219">
        <f t="shared" si="12"/>
        <v>156</v>
      </c>
      <c r="G81" s="219">
        <f t="shared" si="12"/>
        <v>103</v>
      </c>
      <c r="H81" s="219">
        <f>F81+G81</f>
        <v>259</v>
      </c>
    </row>
    <row r="82" spans="1:8" ht="24.75" customHeight="1">
      <c r="A82" s="227">
        <v>3</v>
      </c>
      <c r="B82" s="228" t="s">
        <v>327</v>
      </c>
      <c r="C82" s="219">
        <f t="shared" si="12"/>
        <v>34</v>
      </c>
      <c r="D82" s="219">
        <f t="shared" si="12"/>
        <v>1</v>
      </c>
      <c r="E82" s="225">
        <f>SUM(E83:E90)</f>
        <v>35</v>
      </c>
      <c r="F82" s="219">
        <f t="shared" si="12"/>
        <v>817</v>
      </c>
      <c r="G82" s="219">
        <f t="shared" si="12"/>
        <v>212</v>
      </c>
      <c r="H82" s="225">
        <f>SUM(H83:H90)</f>
        <v>1029</v>
      </c>
    </row>
    <row r="83" spans="1:8" ht="30.75" customHeight="1">
      <c r="A83" s="229"/>
      <c r="B83" s="230" t="s">
        <v>375</v>
      </c>
      <c r="C83" s="219">
        <f t="shared" si="12"/>
        <v>0</v>
      </c>
      <c r="D83" s="219">
        <f t="shared" si="12"/>
        <v>0</v>
      </c>
      <c r="E83" s="219">
        <f aca="true" t="shared" si="13" ref="E83:E90">C83+D83</f>
        <v>0</v>
      </c>
      <c r="F83" s="219">
        <f t="shared" si="12"/>
        <v>37</v>
      </c>
      <c r="G83" s="219">
        <f t="shared" si="12"/>
        <v>22</v>
      </c>
      <c r="H83" s="219">
        <f aca="true" t="shared" si="14" ref="H83:H90">F83+G83</f>
        <v>59</v>
      </c>
    </row>
    <row r="84" spans="1:8" ht="30.75" customHeight="1">
      <c r="A84" s="229"/>
      <c r="B84" s="230" t="s">
        <v>328</v>
      </c>
      <c r="C84" s="219">
        <f t="shared" si="12"/>
        <v>0</v>
      </c>
      <c r="D84" s="219">
        <f t="shared" si="12"/>
        <v>0</v>
      </c>
      <c r="E84" s="219">
        <f t="shared" si="13"/>
        <v>0</v>
      </c>
      <c r="F84" s="219">
        <f t="shared" si="12"/>
        <v>3</v>
      </c>
      <c r="G84" s="219">
        <f t="shared" si="12"/>
        <v>5</v>
      </c>
      <c r="H84" s="219">
        <f t="shared" si="14"/>
        <v>8</v>
      </c>
    </row>
    <row r="85" spans="1:8" ht="31.5" customHeight="1">
      <c r="A85" s="229"/>
      <c r="B85" s="230" t="s">
        <v>329</v>
      </c>
      <c r="C85" s="219">
        <f t="shared" si="12"/>
        <v>0</v>
      </c>
      <c r="D85" s="219">
        <f t="shared" si="12"/>
        <v>0</v>
      </c>
      <c r="E85" s="219">
        <f t="shared" si="13"/>
        <v>0</v>
      </c>
      <c r="F85" s="219">
        <f t="shared" si="12"/>
        <v>49</v>
      </c>
      <c r="G85" s="219">
        <f t="shared" si="12"/>
        <v>34</v>
      </c>
      <c r="H85" s="219">
        <f t="shared" si="14"/>
        <v>83</v>
      </c>
    </row>
    <row r="86" spans="1:8" ht="30" customHeight="1">
      <c r="A86" s="229"/>
      <c r="B86" s="231" t="s">
        <v>225</v>
      </c>
      <c r="C86" s="219">
        <f t="shared" si="12"/>
        <v>0</v>
      </c>
      <c r="D86" s="219">
        <f t="shared" si="12"/>
        <v>0</v>
      </c>
      <c r="E86" s="219">
        <f t="shared" si="13"/>
        <v>0</v>
      </c>
      <c r="F86" s="219">
        <f t="shared" si="12"/>
        <v>28</v>
      </c>
      <c r="G86" s="219">
        <f t="shared" si="12"/>
        <v>34</v>
      </c>
      <c r="H86" s="219">
        <f t="shared" si="14"/>
        <v>62</v>
      </c>
    </row>
    <row r="87" spans="1:8" ht="35.25" customHeight="1">
      <c r="A87" s="229"/>
      <c r="B87" s="231" t="s">
        <v>226</v>
      </c>
      <c r="C87" s="219">
        <f t="shared" si="12"/>
        <v>0</v>
      </c>
      <c r="D87" s="219">
        <f t="shared" si="12"/>
        <v>0</v>
      </c>
      <c r="E87" s="219">
        <f t="shared" si="13"/>
        <v>0</v>
      </c>
      <c r="F87" s="219">
        <f t="shared" si="12"/>
        <v>33</v>
      </c>
      <c r="G87" s="219">
        <f t="shared" si="12"/>
        <v>17</v>
      </c>
      <c r="H87" s="219">
        <f t="shared" si="14"/>
        <v>50</v>
      </c>
    </row>
    <row r="88" spans="1:8" ht="25.5">
      <c r="A88" s="229"/>
      <c r="B88" s="231" t="s">
        <v>330</v>
      </c>
      <c r="C88" s="219">
        <f t="shared" si="12"/>
        <v>0</v>
      </c>
      <c r="D88" s="219">
        <f t="shared" si="12"/>
        <v>0</v>
      </c>
      <c r="E88" s="219">
        <f t="shared" si="13"/>
        <v>0</v>
      </c>
      <c r="F88" s="219">
        <f t="shared" si="12"/>
        <v>37</v>
      </c>
      <c r="G88" s="219">
        <f t="shared" si="12"/>
        <v>28</v>
      </c>
      <c r="H88" s="219">
        <f t="shared" si="14"/>
        <v>65</v>
      </c>
    </row>
    <row r="89" spans="1:8" ht="32.25" customHeight="1">
      <c r="A89" s="229"/>
      <c r="B89" s="231" t="s">
        <v>210</v>
      </c>
      <c r="C89" s="219">
        <f t="shared" si="12"/>
        <v>34</v>
      </c>
      <c r="D89" s="219">
        <f t="shared" si="12"/>
        <v>1</v>
      </c>
      <c r="E89" s="219">
        <f t="shared" si="13"/>
        <v>35</v>
      </c>
      <c r="F89" s="219">
        <f t="shared" si="12"/>
        <v>617</v>
      </c>
      <c r="G89" s="219">
        <f t="shared" si="12"/>
        <v>66</v>
      </c>
      <c r="H89" s="219">
        <f t="shared" si="14"/>
        <v>683</v>
      </c>
    </row>
    <row r="90" spans="1:8" ht="25.5">
      <c r="A90" s="229"/>
      <c r="B90" s="231" t="s">
        <v>211</v>
      </c>
      <c r="C90" s="219">
        <f t="shared" si="12"/>
        <v>0</v>
      </c>
      <c r="D90" s="219">
        <f t="shared" si="12"/>
        <v>0</v>
      </c>
      <c r="E90" s="219">
        <f t="shared" si="13"/>
        <v>0</v>
      </c>
      <c r="F90" s="219">
        <f t="shared" si="12"/>
        <v>13</v>
      </c>
      <c r="G90" s="219">
        <f t="shared" si="12"/>
        <v>6</v>
      </c>
      <c r="H90" s="219">
        <f t="shared" si="14"/>
        <v>19</v>
      </c>
    </row>
    <row r="91" spans="1:8" s="241" customFormat="1" ht="24.75" customHeight="1">
      <c r="A91" s="227">
        <v>4</v>
      </c>
      <c r="B91" s="232" t="s">
        <v>308</v>
      </c>
      <c r="C91" s="219">
        <f t="shared" si="12"/>
        <v>3022</v>
      </c>
      <c r="D91" s="219">
        <f t="shared" si="12"/>
        <v>2350</v>
      </c>
      <c r="E91" s="225">
        <f>E82+E80+E78</f>
        <v>5372</v>
      </c>
      <c r="F91" s="219">
        <f t="shared" si="12"/>
        <v>19047</v>
      </c>
      <c r="G91" s="219">
        <f t="shared" si="12"/>
        <v>13181</v>
      </c>
      <c r="H91" s="225">
        <f>H82+H80+H78</f>
        <v>32228</v>
      </c>
    </row>
    <row r="92" spans="1:8" s="241" customFormat="1" ht="49.5" customHeight="1">
      <c r="A92" s="229"/>
      <c r="B92" s="231" t="s">
        <v>296</v>
      </c>
      <c r="C92" s="219">
        <f t="shared" si="12"/>
        <v>0</v>
      </c>
      <c r="D92" s="219">
        <f t="shared" si="12"/>
        <v>0</v>
      </c>
      <c r="E92" s="219">
        <f>C92+D92</f>
        <v>0</v>
      </c>
      <c r="F92" s="219">
        <f t="shared" si="12"/>
        <v>0</v>
      </c>
      <c r="G92" s="219">
        <f t="shared" si="12"/>
        <v>0</v>
      </c>
      <c r="H92" s="219">
        <f>F92+G92</f>
        <v>0</v>
      </c>
    </row>
    <row r="93" spans="1:8" s="241" customFormat="1" ht="24.75" customHeight="1">
      <c r="A93" s="229"/>
      <c r="B93" s="231" t="s">
        <v>333</v>
      </c>
      <c r="C93" s="219">
        <f t="shared" si="12"/>
        <v>0</v>
      </c>
      <c r="D93" s="219">
        <f t="shared" si="12"/>
        <v>0</v>
      </c>
      <c r="E93" s="219">
        <f>C93+D93</f>
        <v>0</v>
      </c>
      <c r="F93" s="219">
        <f t="shared" si="12"/>
        <v>0</v>
      </c>
      <c r="G93" s="219">
        <f t="shared" si="12"/>
        <v>0</v>
      </c>
      <c r="H93" s="219">
        <f>F93+G93</f>
        <v>0</v>
      </c>
    </row>
    <row r="94" spans="1:8" s="241" customFormat="1" ht="24.75" customHeight="1">
      <c r="A94" s="229"/>
      <c r="B94" s="231" t="s">
        <v>332</v>
      </c>
      <c r="C94" s="219">
        <f>C37+C56+C75</f>
        <v>407</v>
      </c>
      <c r="D94" s="219">
        <f>D37+D56+D75</f>
        <v>234</v>
      </c>
      <c r="E94" s="219">
        <f>C94+D94</f>
        <v>641</v>
      </c>
      <c r="F94" s="219">
        <f>F37+F56+F75</f>
        <v>1725</v>
      </c>
      <c r="G94" s="219">
        <f>G37+G56+G75</f>
        <v>994</v>
      </c>
      <c r="H94" s="219">
        <f>F94+G94</f>
        <v>2719</v>
      </c>
    </row>
    <row r="95" spans="1:8" s="241" customFormat="1" ht="24.75" customHeight="1">
      <c r="A95" s="229"/>
      <c r="B95" s="320" t="s">
        <v>221</v>
      </c>
      <c r="C95" s="321">
        <f>C38+C57+C76</f>
        <v>1073</v>
      </c>
      <c r="D95" s="321">
        <f>D38+D57+D76</f>
        <v>834</v>
      </c>
      <c r="E95" s="321">
        <f>C95+D95</f>
        <v>1907</v>
      </c>
      <c r="F95" s="321">
        <f>F38+F57+F76</f>
        <v>7080</v>
      </c>
      <c r="G95" s="321">
        <f>G38+G57+G76</f>
        <v>4995</v>
      </c>
      <c r="H95" s="321">
        <f>F95+G95</f>
        <v>12075</v>
      </c>
    </row>
    <row r="96" spans="1:8" s="241" customFormat="1" ht="40.5" customHeight="1">
      <c r="A96" s="424" t="s">
        <v>425</v>
      </c>
      <c r="B96" s="424"/>
      <c r="C96" s="426" t="s">
        <v>426</v>
      </c>
      <c r="D96" s="426"/>
      <c r="E96" s="426"/>
      <c r="F96" s="426"/>
      <c r="G96" s="426"/>
      <c r="H96" s="426"/>
    </row>
    <row r="97" spans="1:8" s="241" customFormat="1" ht="49.5" customHeight="1">
      <c r="A97" s="424" t="s">
        <v>420</v>
      </c>
      <c r="B97" s="424"/>
      <c r="C97" s="425" t="s">
        <v>419</v>
      </c>
      <c r="D97" s="425"/>
      <c r="E97" s="425"/>
      <c r="F97" s="425"/>
      <c r="G97" s="425"/>
      <c r="H97" s="425"/>
    </row>
    <row r="98" spans="1:8" s="241" customFormat="1" ht="16.5" customHeight="1">
      <c r="A98" s="211"/>
      <c r="B98" s="211"/>
      <c r="C98" s="211"/>
      <c r="D98" s="211"/>
      <c r="E98" s="211"/>
      <c r="F98" s="211"/>
      <c r="G98" s="211"/>
      <c r="H98" s="211"/>
    </row>
    <row r="99" spans="1:2" ht="15.75">
      <c r="A99" s="403" t="s">
        <v>309</v>
      </c>
      <c r="B99" s="403"/>
    </row>
    <row r="100" spans="1:2" ht="15.75">
      <c r="A100" s="403" t="s">
        <v>310</v>
      </c>
      <c r="B100" s="403"/>
    </row>
  </sheetData>
  <sheetProtection/>
  <mergeCells count="27">
    <mergeCell ref="A99:B99"/>
    <mergeCell ref="A100:B100"/>
    <mergeCell ref="A58:H58"/>
    <mergeCell ref="A77:H77"/>
    <mergeCell ref="A97:B97"/>
    <mergeCell ref="C97:H97"/>
    <mergeCell ref="A96:B96"/>
    <mergeCell ref="C96:H96"/>
    <mergeCell ref="A17:A18"/>
    <mergeCell ref="B17:B18"/>
    <mergeCell ref="C17:E17"/>
    <mergeCell ref="F17:H17"/>
    <mergeCell ref="A20:H20"/>
    <mergeCell ref="A39:H39"/>
    <mergeCell ref="A9:H9"/>
    <mergeCell ref="A10:H10"/>
    <mergeCell ref="A11:H11"/>
    <mergeCell ref="A13:E13"/>
    <mergeCell ref="A14:H14"/>
    <mergeCell ref="A15:H15"/>
    <mergeCell ref="A1:H1"/>
    <mergeCell ref="A3:B3"/>
    <mergeCell ref="C3:H3"/>
    <mergeCell ref="A5:B5"/>
    <mergeCell ref="C5:H5"/>
    <mergeCell ref="A7:B7"/>
    <mergeCell ref="C7:H7"/>
  </mergeCells>
  <printOptions/>
  <pageMargins left="0.7086614173228347" right="0.7086614173228347" top="0.7480314960629921" bottom="0.7480314960629921" header="0.31496062992125984" footer="0.31496062992125984"/>
  <pageSetup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dimension ref="A1:M37"/>
  <sheetViews>
    <sheetView view="pageBreakPreview" zoomScale="120" zoomScaleSheetLayoutView="120" zoomScalePageLayoutView="0" workbookViewId="0" topLeftCell="A13">
      <selection activeCell="K35" sqref="K35"/>
    </sheetView>
  </sheetViews>
  <sheetFormatPr defaultColWidth="9.140625" defaultRowHeight="12.75"/>
  <cols>
    <col min="1" max="1" width="3.7109375" style="3" customWidth="1"/>
    <col min="2" max="2" width="23.00390625" style="3" customWidth="1"/>
    <col min="3" max="8" width="11.8515625" style="3" customWidth="1"/>
    <col min="9" max="16384" width="9.140625" style="3" customWidth="1"/>
  </cols>
  <sheetData>
    <row r="1" spans="1:8" ht="27.75" customHeight="1">
      <c r="A1" s="438" t="s">
        <v>56</v>
      </c>
      <c r="B1" s="438"/>
      <c r="C1" s="438"/>
      <c r="D1" s="438"/>
      <c r="E1" s="438"/>
      <c r="F1" s="438"/>
      <c r="G1" s="438"/>
      <c r="H1" s="438"/>
    </row>
    <row r="2" spans="2:8" ht="12.75">
      <c r="B2" s="46"/>
      <c r="C2" s="46"/>
      <c r="D2" s="46"/>
      <c r="E2" s="47"/>
      <c r="F2" s="46"/>
      <c r="G2" s="46"/>
      <c r="H2" s="46"/>
    </row>
    <row r="3" spans="1:8" s="5" customFormat="1" ht="91.5" customHeight="1">
      <c r="A3" s="3"/>
      <c r="B3" s="31" t="s">
        <v>290</v>
      </c>
      <c r="C3" s="439" t="s">
        <v>407</v>
      </c>
      <c r="D3" s="429"/>
      <c r="E3" s="429"/>
      <c r="F3" s="429"/>
      <c r="G3" s="429"/>
      <c r="H3" s="430"/>
    </row>
    <row r="4" spans="2:8" s="5" customFormat="1" ht="14.25">
      <c r="B4" s="6"/>
      <c r="C4" s="48"/>
      <c r="D4" s="48"/>
      <c r="E4" s="49"/>
      <c r="F4" s="48"/>
      <c r="G4" s="48"/>
      <c r="H4" s="48"/>
    </row>
    <row r="5" spans="2:8" s="5" customFormat="1" ht="14.25">
      <c r="B5" s="31" t="s">
        <v>306</v>
      </c>
      <c r="C5" s="428" t="s">
        <v>408</v>
      </c>
      <c r="D5" s="429"/>
      <c r="E5" s="429"/>
      <c r="F5" s="429"/>
      <c r="G5" s="429"/>
      <c r="H5" s="430"/>
    </row>
    <row r="6" spans="2:8" s="5" customFormat="1" ht="14.25">
      <c r="B6" s="6"/>
      <c r="C6" s="48"/>
      <c r="D6" s="48"/>
      <c r="E6" s="24"/>
      <c r="F6" s="24"/>
      <c r="G6" s="24"/>
      <c r="H6" s="24"/>
    </row>
    <row r="7" spans="2:8" s="5" customFormat="1" ht="14.25">
      <c r="B7" s="31" t="s">
        <v>307</v>
      </c>
      <c r="C7" s="428" t="s">
        <v>424</v>
      </c>
      <c r="D7" s="429"/>
      <c r="E7" s="429"/>
      <c r="F7" s="429"/>
      <c r="G7" s="429"/>
      <c r="H7" s="430"/>
    </row>
    <row r="8" spans="2:8" s="5" customFormat="1" ht="12.75">
      <c r="B8" s="24"/>
      <c r="C8" s="24"/>
      <c r="D8" s="24"/>
      <c r="E8" s="24"/>
      <c r="F8" s="24"/>
      <c r="G8" s="24"/>
      <c r="H8" s="24"/>
    </row>
    <row r="9" spans="1:13" s="25" customFormat="1" ht="65.25" customHeight="1">
      <c r="A9" s="437" t="s">
        <v>44</v>
      </c>
      <c r="B9" s="437"/>
      <c r="C9" s="437"/>
      <c r="D9" s="437"/>
      <c r="E9" s="437"/>
      <c r="F9" s="437"/>
      <c r="G9" s="437"/>
      <c r="H9" s="437"/>
      <c r="I9" s="50"/>
      <c r="J9" s="50"/>
      <c r="K9" s="50"/>
      <c r="L9" s="50"/>
      <c r="M9" s="50"/>
    </row>
    <row r="10" spans="1:12" s="7" customFormat="1" ht="70.5" customHeight="1">
      <c r="A10" s="440" t="s">
        <v>62</v>
      </c>
      <c r="B10" s="440"/>
      <c r="C10" s="440"/>
      <c r="D10" s="440"/>
      <c r="E10" s="440"/>
      <c r="F10" s="440"/>
      <c r="G10" s="440"/>
      <c r="H10" s="440"/>
      <c r="I10" s="34"/>
      <c r="J10" s="34"/>
      <c r="K10" s="34"/>
      <c r="L10" s="34"/>
    </row>
    <row r="11" spans="1:12" s="7" customFormat="1" ht="66.75" customHeight="1">
      <c r="A11" s="441" t="s">
        <v>33</v>
      </c>
      <c r="B11" s="441"/>
      <c r="C11" s="441"/>
      <c r="D11" s="441"/>
      <c r="E11" s="441"/>
      <c r="F11" s="441"/>
      <c r="G11" s="441"/>
      <c r="H11" s="441"/>
      <c r="I11" s="34"/>
      <c r="J11" s="34"/>
      <c r="K11" s="34"/>
      <c r="L11" s="34"/>
    </row>
    <row r="12" spans="1:12" s="7" customFormat="1" ht="19.5" customHeight="1">
      <c r="A12" s="60"/>
      <c r="B12" s="60"/>
      <c r="C12" s="60"/>
      <c r="D12" s="60"/>
      <c r="E12" s="60"/>
      <c r="F12" s="60"/>
      <c r="G12" s="60"/>
      <c r="H12" s="60"/>
      <c r="I12" s="34"/>
      <c r="J12" s="34"/>
      <c r="K12" s="34"/>
      <c r="L12" s="34"/>
    </row>
    <row r="13" spans="1:12" s="7" customFormat="1" ht="15.75" customHeight="1">
      <c r="A13" s="436" t="s">
        <v>315</v>
      </c>
      <c r="B13" s="436"/>
      <c r="C13" s="436"/>
      <c r="D13" s="436"/>
      <c r="E13" s="436"/>
      <c r="F13" s="436"/>
      <c r="G13" s="436"/>
      <c r="H13" s="436"/>
      <c r="I13" s="33"/>
      <c r="J13" s="33"/>
      <c r="K13" s="33"/>
      <c r="L13" s="33"/>
    </row>
    <row r="14" spans="1:13" s="7" customFormat="1" ht="17.25" customHeight="1">
      <c r="A14" s="436" t="s">
        <v>316</v>
      </c>
      <c r="B14" s="436"/>
      <c r="C14" s="436"/>
      <c r="D14" s="436"/>
      <c r="E14" s="436"/>
      <c r="F14" s="436"/>
      <c r="G14" s="436"/>
      <c r="H14" s="436"/>
      <c r="I14" s="33"/>
      <c r="J14" s="33"/>
      <c r="K14" s="33"/>
      <c r="L14" s="33"/>
      <c r="M14" s="33"/>
    </row>
    <row r="15" spans="1:12" s="7" customFormat="1" ht="16.5" customHeight="1">
      <c r="A15" s="436" t="s">
        <v>317</v>
      </c>
      <c r="B15" s="436"/>
      <c r="C15" s="436"/>
      <c r="D15" s="436"/>
      <c r="E15" s="436"/>
      <c r="F15" s="436"/>
      <c r="G15" s="436"/>
      <c r="H15" s="436"/>
      <c r="I15" s="34"/>
      <c r="J15" s="34"/>
      <c r="K15" s="34"/>
      <c r="L15" s="34"/>
    </row>
    <row r="16" spans="2:12" s="7" customFormat="1" ht="12" customHeight="1" thickBot="1">
      <c r="B16" s="33"/>
      <c r="C16" s="34"/>
      <c r="D16" s="34"/>
      <c r="E16" s="34"/>
      <c r="F16" s="34"/>
      <c r="G16" s="34"/>
      <c r="H16" s="34"/>
      <c r="I16" s="34"/>
      <c r="J16" s="34"/>
      <c r="K16" s="34"/>
      <c r="L16" s="34"/>
    </row>
    <row r="17" spans="1:8" ht="22.5" customHeight="1">
      <c r="A17" s="433" t="s">
        <v>379</v>
      </c>
      <c r="B17" s="431" t="s">
        <v>374</v>
      </c>
      <c r="C17" s="431" t="s">
        <v>319</v>
      </c>
      <c r="D17" s="431"/>
      <c r="E17" s="431"/>
      <c r="F17" s="431" t="s">
        <v>320</v>
      </c>
      <c r="G17" s="431"/>
      <c r="H17" s="432"/>
    </row>
    <row r="18" spans="1:8" ht="14.25" customHeight="1">
      <c r="A18" s="434"/>
      <c r="B18" s="435"/>
      <c r="C18" s="27" t="s">
        <v>312</v>
      </c>
      <c r="D18" s="27" t="s">
        <v>313</v>
      </c>
      <c r="E18" s="27" t="s">
        <v>308</v>
      </c>
      <c r="F18" s="27" t="s">
        <v>312</v>
      </c>
      <c r="G18" s="27" t="s">
        <v>313</v>
      </c>
      <c r="H18" s="61" t="s">
        <v>308</v>
      </c>
    </row>
    <row r="19" spans="1:8" ht="12" customHeight="1" thickBot="1">
      <c r="A19" s="62">
        <v>1</v>
      </c>
      <c r="B19" s="63">
        <v>2</v>
      </c>
      <c r="C19" s="63">
        <v>3</v>
      </c>
      <c r="D19" s="63">
        <v>4</v>
      </c>
      <c r="E19" s="63">
        <v>5</v>
      </c>
      <c r="F19" s="63">
        <v>6</v>
      </c>
      <c r="G19" s="63">
        <v>7</v>
      </c>
      <c r="H19" s="64">
        <v>8</v>
      </c>
    </row>
    <row r="20" spans="1:8" ht="12" customHeight="1">
      <c r="A20" s="422" t="s">
        <v>266</v>
      </c>
      <c r="B20" s="423"/>
      <c r="C20" s="423"/>
      <c r="D20" s="423"/>
      <c r="E20" s="423"/>
      <c r="F20" s="423"/>
      <c r="G20" s="423"/>
      <c r="H20" s="423"/>
    </row>
    <row r="21" spans="1:8" ht="12.75">
      <c r="A21" s="65">
        <v>1</v>
      </c>
      <c r="B21" s="66" t="s">
        <v>222</v>
      </c>
      <c r="C21" s="247">
        <f>F21-6670</f>
        <v>1166</v>
      </c>
      <c r="D21" s="247">
        <f>G21-4219</f>
        <v>827</v>
      </c>
      <c r="E21" s="242">
        <f>C21+D21</f>
        <v>1993</v>
      </c>
      <c r="F21" s="247">
        <f>546+45+7245</f>
        <v>7836</v>
      </c>
      <c r="G21" s="247">
        <f>592+2+4452</f>
        <v>5046</v>
      </c>
      <c r="H21" s="242">
        <f>F21+G21</f>
        <v>12882</v>
      </c>
    </row>
    <row r="22" spans="1:8" ht="12.75">
      <c r="A22" s="67">
        <v>2</v>
      </c>
      <c r="B22" s="68" t="s">
        <v>34</v>
      </c>
      <c r="C22" s="248">
        <f>F22-497</f>
        <v>355</v>
      </c>
      <c r="D22" s="248">
        <f>G22-596</f>
        <v>496</v>
      </c>
      <c r="E22" s="242">
        <f>C22+D22</f>
        <v>851</v>
      </c>
      <c r="F22" s="248">
        <f>351+21+480</f>
        <v>852</v>
      </c>
      <c r="G22" s="248">
        <f>282+808+2</f>
        <v>1092</v>
      </c>
      <c r="H22" s="242">
        <f>F22+G22</f>
        <v>1944</v>
      </c>
    </row>
    <row r="23" spans="1:8" ht="25.5">
      <c r="A23" s="56"/>
      <c r="B23" s="69" t="s">
        <v>35</v>
      </c>
      <c r="C23" s="248">
        <v>3</v>
      </c>
      <c r="D23" s="248">
        <v>0</v>
      </c>
      <c r="E23" s="242">
        <f>C23+D23</f>
        <v>3</v>
      </c>
      <c r="F23" s="248">
        <f>21+2</f>
        <v>23</v>
      </c>
      <c r="G23" s="248">
        <f>2+4</f>
        <v>6</v>
      </c>
      <c r="H23" s="242">
        <f>F23+G23</f>
        <v>29</v>
      </c>
    </row>
    <row r="24" spans="1:8" ht="12.75">
      <c r="A24" s="422" t="s">
        <v>276</v>
      </c>
      <c r="B24" s="423"/>
      <c r="C24" s="423"/>
      <c r="D24" s="423"/>
      <c r="E24" s="423"/>
      <c r="F24" s="423"/>
      <c r="G24" s="423"/>
      <c r="H24" s="423"/>
    </row>
    <row r="25" spans="1:8" ht="12.75">
      <c r="A25" s="311">
        <v>1</v>
      </c>
      <c r="B25" s="312" t="s">
        <v>222</v>
      </c>
      <c r="C25" s="247">
        <v>0</v>
      </c>
      <c r="D25" s="247">
        <v>0</v>
      </c>
      <c r="E25" s="242">
        <f>D25+C25</f>
        <v>0</v>
      </c>
      <c r="F25" s="247">
        <v>91</v>
      </c>
      <c r="G25" s="247">
        <v>114</v>
      </c>
      <c r="H25" s="242">
        <f>F25+G25</f>
        <v>205</v>
      </c>
    </row>
    <row r="26" spans="1:8" ht="12.75">
      <c r="A26" s="313">
        <v>2</v>
      </c>
      <c r="B26" s="314" t="s">
        <v>34</v>
      </c>
      <c r="C26" s="248">
        <v>0</v>
      </c>
      <c r="D26" s="248">
        <v>0</v>
      </c>
      <c r="E26" s="242">
        <f>D26+C26</f>
        <v>0</v>
      </c>
      <c r="F26" s="248">
        <v>14</v>
      </c>
      <c r="G26" s="248">
        <v>31</v>
      </c>
      <c r="H26" s="242">
        <f>F26+G26</f>
        <v>45</v>
      </c>
    </row>
    <row r="27" spans="1:8" ht="25.5">
      <c r="A27" s="315"/>
      <c r="B27" s="316" t="s">
        <v>35</v>
      </c>
      <c r="C27" s="248">
        <v>0</v>
      </c>
      <c r="D27" s="248">
        <v>0</v>
      </c>
      <c r="E27" s="242">
        <f>D27+C27</f>
        <v>0</v>
      </c>
      <c r="F27" s="248">
        <v>3</v>
      </c>
      <c r="G27" s="248">
        <v>5</v>
      </c>
      <c r="H27" s="242">
        <f>F27+G27</f>
        <v>8</v>
      </c>
    </row>
    <row r="28" spans="1:8" ht="12.75">
      <c r="A28" s="422" t="s">
        <v>278</v>
      </c>
      <c r="B28" s="423"/>
      <c r="C28" s="423"/>
      <c r="D28" s="423"/>
      <c r="E28" s="423"/>
      <c r="F28" s="423"/>
      <c r="G28" s="423"/>
      <c r="H28" s="423"/>
    </row>
    <row r="29" spans="1:8" ht="12.75">
      <c r="A29" s="311">
        <v>1</v>
      </c>
      <c r="B29" s="312" t="s">
        <v>222</v>
      </c>
      <c r="C29" s="247">
        <v>0</v>
      </c>
      <c r="D29" s="247">
        <v>0</v>
      </c>
      <c r="E29" s="242">
        <f>C29+D29</f>
        <v>0</v>
      </c>
      <c r="F29" s="247">
        <v>149</v>
      </c>
      <c r="G29" s="247">
        <v>115</v>
      </c>
      <c r="H29" s="242">
        <f>F29+G29</f>
        <v>264</v>
      </c>
    </row>
    <row r="30" spans="1:8" ht="12.75">
      <c r="A30" s="313">
        <v>2</v>
      </c>
      <c r="B30" s="314" t="s">
        <v>34</v>
      </c>
      <c r="C30" s="248">
        <v>0</v>
      </c>
      <c r="D30" s="248">
        <f>21-21</f>
        <v>0</v>
      </c>
      <c r="E30" s="242">
        <f>C30+D30</f>
        <v>0</v>
      </c>
      <c r="F30" s="248">
        <v>61</v>
      </c>
      <c r="G30" s="248">
        <v>21</v>
      </c>
      <c r="H30" s="242">
        <f>F30+G30</f>
        <v>82</v>
      </c>
    </row>
    <row r="31" spans="1:8" ht="25.5">
      <c r="A31" s="315"/>
      <c r="B31" s="316" t="s">
        <v>35</v>
      </c>
      <c r="C31" s="248">
        <f>21-21</f>
        <v>0</v>
      </c>
      <c r="D31" s="248">
        <v>0</v>
      </c>
      <c r="E31" s="242">
        <f>C31+D31</f>
        <v>0</v>
      </c>
      <c r="F31" s="248">
        <v>21</v>
      </c>
      <c r="G31" s="248">
        <v>5</v>
      </c>
      <c r="H31" s="242">
        <f>F31+G31</f>
        <v>26</v>
      </c>
    </row>
    <row r="32" spans="1:8" ht="12.75" customHeight="1">
      <c r="A32" s="422" t="s">
        <v>415</v>
      </c>
      <c r="B32" s="423"/>
      <c r="C32" s="423"/>
      <c r="D32" s="423"/>
      <c r="E32" s="423"/>
      <c r="F32" s="423"/>
      <c r="G32" s="423"/>
      <c r="H32" s="423"/>
    </row>
    <row r="33" spans="1:8" ht="12.75">
      <c r="A33" s="65">
        <v>1</v>
      </c>
      <c r="B33" s="66" t="s">
        <v>222</v>
      </c>
      <c r="C33" s="242">
        <f aca="true" t="shared" si="0" ref="C33:H33">C21+C25+C29</f>
        <v>1166</v>
      </c>
      <c r="D33" s="242">
        <f t="shared" si="0"/>
        <v>827</v>
      </c>
      <c r="E33" s="242">
        <f t="shared" si="0"/>
        <v>1993</v>
      </c>
      <c r="F33" s="242">
        <f t="shared" si="0"/>
        <v>8076</v>
      </c>
      <c r="G33" s="242">
        <f t="shared" si="0"/>
        <v>5275</v>
      </c>
      <c r="H33" s="242">
        <f t="shared" si="0"/>
        <v>13351</v>
      </c>
    </row>
    <row r="34" spans="1:8" ht="12.75">
      <c r="A34" s="67">
        <v>2</v>
      </c>
      <c r="B34" s="68" t="s">
        <v>34</v>
      </c>
      <c r="C34" s="242">
        <f aca="true" t="shared" si="1" ref="C34:H35">C22+C26+C30</f>
        <v>355</v>
      </c>
      <c r="D34" s="242">
        <f t="shared" si="1"/>
        <v>496</v>
      </c>
      <c r="E34" s="242">
        <f t="shared" si="1"/>
        <v>851</v>
      </c>
      <c r="F34" s="242">
        <f t="shared" si="1"/>
        <v>927</v>
      </c>
      <c r="G34" s="242">
        <f t="shared" si="1"/>
        <v>1144</v>
      </c>
      <c r="H34" s="242">
        <f t="shared" si="1"/>
        <v>2071</v>
      </c>
    </row>
    <row r="35" spans="1:8" ht="25.5">
      <c r="A35" s="56"/>
      <c r="B35" s="69" t="s">
        <v>35</v>
      </c>
      <c r="C35" s="242">
        <f t="shared" si="1"/>
        <v>3</v>
      </c>
      <c r="D35" s="242">
        <f t="shared" si="1"/>
        <v>0</v>
      </c>
      <c r="E35" s="242">
        <f t="shared" si="1"/>
        <v>3</v>
      </c>
      <c r="F35" s="242">
        <f t="shared" si="1"/>
        <v>47</v>
      </c>
      <c r="G35" s="242">
        <f t="shared" si="1"/>
        <v>16</v>
      </c>
      <c r="H35" s="242">
        <f t="shared" si="1"/>
        <v>63</v>
      </c>
    </row>
    <row r="36" spans="1:2" ht="14.25" customHeight="1">
      <c r="A36" s="427" t="s">
        <v>309</v>
      </c>
      <c r="B36" s="427"/>
    </row>
    <row r="37" spans="1:4" ht="15.75" customHeight="1">
      <c r="A37" s="427" t="s">
        <v>310</v>
      </c>
      <c r="B37" s="427"/>
      <c r="C37" s="427"/>
      <c r="D37" s="427"/>
    </row>
  </sheetData>
  <sheetProtection selectLockedCells="1" selectUnlockedCells="1"/>
  <mergeCells count="20">
    <mergeCell ref="A28:H28"/>
    <mergeCell ref="A24:H24"/>
    <mergeCell ref="A1:H1"/>
    <mergeCell ref="C3:H3"/>
    <mergeCell ref="C5:H5"/>
    <mergeCell ref="A36:B36"/>
    <mergeCell ref="A10:H10"/>
    <mergeCell ref="A11:H11"/>
    <mergeCell ref="A13:H13"/>
    <mergeCell ref="A14:H14"/>
    <mergeCell ref="A37:D37"/>
    <mergeCell ref="C7:H7"/>
    <mergeCell ref="C17:E17"/>
    <mergeCell ref="F17:H17"/>
    <mergeCell ref="A17:A18"/>
    <mergeCell ref="B17:B18"/>
    <mergeCell ref="A15:H15"/>
    <mergeCell ref="A9:H9"/>
    <mergeCell ref="A20:H20"/>
    <mergeCell ref="A32:H32"/>
  </mergeCells>
  <printOptions/>
  <pageMargins left="0.7480314960629921" right="0.7480314960629921" top="0.984251968503937" bottom="0.984251968503937" header="0.5118110236220472" footer="0.5118110236220472"/>
  <pageSetup horizontalDpi="600" verticalDpi="600" orientation="portrait" paperSize="9" scale="85" r:id="rId1"/>
</worksheet>
</file>

<file path=xl/worksheets/sheet5.xml><?xml version="1.0" encoding="utf-8"?>
<worksheet xmlns="http://schemas.openxmlformats.org/spreadsheetml/2006/main" xmlns:r="http://schemas.openxmlformats.org/officeDocument/2006/relationships">
  <dimension ref="A1:H49"/>
  <sheetViews>
    <sheetView view="pageBreakPreview" zoomScale="120" zoomScaleSheetLayoutView="120" zoomScalePageLayoutView="0" workbookViewId="0" topLeftCell="A28">
      <selection activeCell="K40" sqref="K40"/>
    </sheetView>
  </sheetViews>
  <sheetFormatPr defaultColWidth="9.140625" defaultRowHeight="12.75"/>
  <cols>
    <col min="1" max="1" width="3.7109375" style="3" customWidth="1"/>
    <col min="2" max="2" width="23.00390625" style="3" customWidth="1"/>
    <col min="3" max="8" width="11.28125" style="3" customWidth="1"/>
    <col min="9" max="16384" width="9.140625" style="3" customWidth="1"/>
  </cols>
  <sheetData>
    <row r="1" spans="1:8" ht="27.75" customHeight="1">
      <c r="A1" s="438" t="s">
        <v>63</v>
      </c>
      <c r="B1" s="438"/>
      <c r="C1" s="438"/>
      <c r="D1" s="438"/>
      <c r="E1" s="438"/>
      <c r="F1" s="438"/>
      <c r="G1" s="438"/>
      <c r="H1" s="438"/>
    </row>
    <row r="2" spans="2:8" ht="12.75">
      <c r="B2" s="46"/>
      <c r="C2" s="46"/>
      <c r="D2" s="46"/>
      <c r="E2" s="47"/>
      <c r="F2" s="46"/>
      <c r="G2" s="46"/>
      <c r="H2" s="46"/>
    </row>
    <row r="3" spans="1:8" s="5" customFormat="1" ht="79.5" customHeight="1">
      <c r="A3" s="3"/>
      <c r="B3" s="31" t="s">
        <v>290</v>
      </c>
      <c r="C3" s="439" t="s">
        <v>407</v>
      </c>
      <c r="D3" s="429"/>
      <c r="E3" s="429"/>
      <c r="F3" s="429"/>
      <c r="G3" s="429"/>
      <c r="H3" s="430"/>
    </row>
    <row r="4" spans="2:8" s="5" customFormat="1" ht="14.25">
      <c r="B4" s="6"/>
      <c r="C4" s="48"/>
      <c r="D4" s="48"/>
      <c r="E4" s="49"/>
      <c r="F4" s="48"/>
      <c r="G4" s="48"/>
      <c r="H4" s="48"/>
    </row>
    <row r="5" spans="2:8" s="5" customFormat="1" ht="14.25">
      <c r="B5" s="31" t="s">
        <v>306</v>
      </c>
      <c r="C5" s="428" t="s">
        <v>408</v>
      </c>
      <c r="D5" s="429"/>
      <c r="E5" s="429"/>
      <c r="F5" s="429"/>
      <c r="G5" s="429"/>
      <c r="H5" s="430"/>
    </row>
    <row r="6" spans="2:8" s="5" customFormat="1" ht="14.25">
      <c r="B6" s="6"/>
      <c r="C6" s="48"/>
      <c r="D6" s="48"/>
      <c r="E6" s="24"/>
      <c r="F6" s="24"/>
      <c r="G6" s="24"/>
      <c r="H6" s="24"/>
    </row>
    <row r="7" spans="2:8" s="5" customFormat="1" ht="14.25">
      <c r="B7" s="31" t="s">
        <v>307</v>
      </c>
      <c r="C7" s="428" t="s">
        <v>424</v>
      </c>
      <c r="D7" s="429"/>
      <c r="E7" s="429"/>
      <c r="F7" s="429"/>
      <c r="G7" s="429"/>
      <c r="H7" s="430"/>
    </row>
    <row r="8" spans="2:8" s="5" customFormat="1" ht="12.75">
      <c r="B8" s="24"/>
      <c r="C8" s="24"/>
      <c r="D8" s="24"/>
      <c r="E8" s="24"/>
      <c r="F8" s="24"/>
      <c r="G8" s="24"/>
      <c r="H8" s="24"/>
    </row>
    <row r="9" spans="1:8" s="25" customFormat="1" ht="65.25" customHeight="1">
      <c r="A9" s="437" t="s">
        <v>44</v>
      </c>
      <c r="B9" s="437"/>
      <c r="C9" s="437"/>
      <c r="D9" s="437"/>
      <c r="E9" s="437"/>
      <c r="F9" s="437"/>
      <c r="G9" s="437"/>
      <c r="H9" s="437"/>
    </row>
    <row r="10" spans="1:8" s="25" customFormat="1" ht="53.25" customHeight="1">
      <c r="A10" s="440" t="s">
        <v>64</v>
      </c>
      <c r="B10" s="444"/>
      <c r="C10" s="444"/>
      <c r="D10" s="444"/>
      <c r="E10" s="444"/>
      <c r="F10" s="444"/>
      <c r="G10" s="444"/>
      <c r="H10" s="444"/>
    </row>
    <row r="11" spans="1:8" s="25" customFormat="1" ht="93" customHeight="1">
      <c r="A11" s="440" t="s">
        <v>48</v>
      </c>
      <c r="B11" s="440"/>
      <c r="C11" s="440"/>
      <c r="D11" s="440"/>
      <c r="E11" s="440"/>
      <c r="F11" s="440"/>
      <c r="G11" s="440"/>
      <c r="H11" s="440"/>
    </row>
    <row r="12" spans="1:8" s="25" customFormat="1" ht="50.25" customHeight="1">
      <c r="A12" s="440" t="s">
        <v>304</v>
      </c>
      <c r="B12" s="440"/>
      <c r="C12" s="440"/>
      <c r="D12" s="440"/>
      <c r="E12" s="440"/>
      <c r="F12" s="440"/>
      <c r="G12" s="440"/>
      <c r="H12" s="440"/>
    </row>
    <row r="13" spans="1:8" s="25" customFormat="1" ht="19.5" customHeight="1">
      <c r="A13" s="51"/>
      <c r="B13" s="51"/>
      <c r="C13" s="51"/>
      <c r="D13" s="51"/>
      <c r="E13" s="51"/>
      <c r="F13" s="51"/>
      <c r="G13" s="51"/>
      <c r="H13" s="51"/>
    </row>
    <row r="14" spans="1:8" s="7" customFormat="1" ht="15.75" customHeight="1">
      <c r="A14" s="436" t="s">
        <v>315</v>
      </c>
      <c r="B14" s="436"/>
      <c r="C14" s="436"/>
      <c r="D14" s="436"/>
      <c r="E14" s="436"/>
      <c r="F14" s="436"/>
      <c r="G14" s="436"/>
      <c r="H14" s="436"/>
    </row>
    <row r="15" spans="1:8" s="7" customFormat="1" ht="17.25" customHeight="1">
      <c r="A15" s="436" t="s">
        <v>316</v>
      </c>
      <c r="B15" s="436"/>
      <c r="C15" s="436"/>
      <c r="D15" s="436"/>
      <c r="E15" s="436"/>
      <c r="F15" s="436"/>
      <c r="G15" s="436"/>
      <c r="H15" s="436"/>
    </row>
    <row r="16" spans="1:8" s="7" customFormat="1" ht="16.5" customHeight="1">
      <c r="A16" s="436" t="s">
        <v>317</v>
      </c>
      <c r="B16" s="436"/>
      <c r="C16" s="436"/>
      <c r="D16" s="436"/>
      <c r="E16" s="436"/>
      <c r="F16" s="436"/>
      <c r="G16" s="436"/>
      <c r="H16" s="436"/>
    </row>
    <row r="17" spans="2:8" s="7" customFormat="1" ht="12" customHeight="1" thickBot="1">
      <c r="B17" s="33"/>
      <c r="C17" s="34"/>
      <c r="D17" s="34"/>
      <c r="E17" s="34"/>
      <c r="F17" s="34"/>
      <c r="G17" s="34"/>
      <c r="H17" s="34"/>
    </row>
    <row r="18" spans="1:8" ht="19.5" customHeight="1">
      <c r="A18" s="445" t="s">
        <v>379</v>
      </c>
      <c r="B18" s="442" t="s">
        <v>214</v>
      </c>
      <c r="C18" s="442" t="s">
        <v>319</v>
      </c>
      <c r="D18" s="442"/>
      <c r="E18" s="442"/>
      <c r="F18" s="442" t="s">
        <v>320</v>
      </c>
      <c r="G18" s="442"/>
      <c r="H18" s="443"/>
    </row>
    <row r="19" spans="1:8" ht="18.75" customHeight="1">
      <c r="A19" s="446"/>
      <c r="B19" s="450"/>
      <c r="C19" s="14" t="s">
        <v>312</v>
      </c>
      <c r="D19" s="14" t="s">
        <v>313</v>
      </c>
      <c r="E19" s="14" t="s">
        <v>308</v>
      </c>
      <c r="F19" s="14" t="s">
        <v>312</v>
      </c>
      <c r="G19" s="14" t="s">
        <v>313</v>
      </c>
      <c r="H19" s="52" t="s">
        <v>308</v>
      </c>
    </row>
    <row r="20" spans="1:8" ht="13.5" customHeight="1" thickBot="1">
      <c r="A20" s="53">
        <v>1</v>
      </c>
      <c r="B20" s="54">
        <v>2</v>
      </c>
      <c r="C20" s="54">
        <v>3</v>
      </c>
      <c r="D20" s="54">
        <v>4</v>
      </c>
      <c r="E20" s="54">
        <v>5</v>
      </c>
      <c r="F20" s="54">
        <v>6</v>
      </c>
      <c r="G20" s="54">
        <v>7</v>
      </c>
      <c r="H20" s="55">
        <v>8</v>
      </c>
    </row>
    <row r="21" spans="1:8" ht="13.5" customHeight="1">
      <c r="A21" s="422" t="s">
        <v>266</v>
      </c>
      <c r="B21" s="423"/>
      <c r="C21" s="423"/>
      <c r="D21" s="423"/>
      <c r="E21" s="423"/>
      <c r="F21" s="423"/>
      <c r="G21" s="423"/>
      <c r="H21" s="423"/>
    </row>
    <row r="22" spans="1:8" ht="27" customHeight="1">
      <c r="A22" s="56">
        <v>1</v>
      </c>
      <c r="B22" s="57" t="s">
        <v>378</v>
      </c>
      <c r="C22" s="245">
        <f>F22-1405</f>
        <v>292</v>
      </c>
      <c r="D22" s="245">
        <f>G22-1915</f>
        <v>455</v>
      </c>
      <c r="E22" s="245">
        <f>C22+D22</f>
        <v>747</v>
      </c>
      <c r="F22" s="245">
        <f>380+1+1316</f>
        <v>1697</v>
      </c>
      <c r="G22" s="245">
        <f>389+1981</f>
        <v>2370</v>
      </c>
      <c r="H22" s="245">
        <f>F22+G22</f>
        <v>4067</v>
      </c>
    </row>
    <row r="23" spans="1:8" ht="21" customHeight="1">
      <c r="A23" s="58">
        <v>2</v>
      </c>
      <c r="B23" s="59" t="s">
        <v>195</v>
      </c>
      <c r="C23" s="246">
        <f>F23-8431</f>
        <v>1790</v>
      </c>
      <c r="D23" s="246">
        <f>G23-6359</f>
        <v>1472</v>
      </c>
      <c r="E23" s="245">
        <f>C23+D23</f>
        <v>3262</v>
      </c>
      <c r="F23" s="246">
        <f>1474+66+8681</f>
        <v>10221</v>
      </c>
      <c r="G23" s="246">
        <f>1021+2+6808</f>
        <v>7831</v>
      </c>
      <c r="H23" s="245">
        <f>F23+G23</f>
        <v>18052</v>
      </c>
    </row>
    <row r="24" spans="1:8" ht="21" customHeight="1">
      <c r="A24" s="58">
        <v>3</v>
      </c>
      <c r="B24" s="59" t="s">
        <v>376</v>
      </c>
      <c r="C24" s="246">
        <f>F24-1290</f>
        <v>245</v>
      </c>
      <c r="D24" s="246">
        <f>G24-493</f>
        <v>113</v>
      </c>
      <c r="E24" s="245">
        <f>C24+D24</f>
        <v>358</v>
      </c>
      <c r="F24" s="246">
        <f>477+40+1018</f>
        <v>1535</v>
      </c>
      <c r="G24" s="246">
        <f>311+1+294</f>
        <v>606</v>
      </c>
      <c r="H24" s="245">
        <f>F24+G24</f>
        <v>2141</v>
      </c>
    </row>
    <row r="25" spans="1:8" ht="21" customHeight="1">
      <c r="A25" s="58">
        <v>4</v>
      </c>
      <c r="B25" s="59" t="s">
        <v>377</v>
      </c>
      <c r="C25" s="246">
        <f>F25-3784</f>
        <v>695</v>
      </c>
      <c r="D25" s="246">
        <f>G25-1322</f>
        <v>310</v>
      </c>
      <c r="E25" s="245">
        <f>C25+D25</f>
        <v>1005</v>
      </c>
      <c r="F25" s="246">
        <f>640+393+3446</f>
        <v>4479</v>
      </c>
      <c r="G25" s="246">
        <f>262+25+1345</f>
        <v>1632</v>
      </c>
      <c r="H25" s="245">
        <f>F25+G25</f>
        <v>6111</v>
      </c>
    </row>
    <row r="26" spans="1:8" ht="21" customHeight="1">
      <c r="A26" s="58">
        <v>5</v>
      </c>
      <c r="B26" s="75" t="s">
        <v>308</v>
      </c>
      <c r="C26" s="243">
        <f>SUM(C22:C25)</f>
        <v>3022</v>
      </c>
      <c r="D26" s="243">
        <f>SUM(D22:D25)</f>
        <v>2350</v>
      </c>
      <c r="E26" s="244">
        <f>C26+D26</f>
        <v>5372</v>
      </c>
      <c r="F26" s="243">
        <f>SUM(F22:F25)</f>
        <v>17932</v>
      </c>
      <c r="G26" s="243">
        <f>SUM(G22:G25)</f>
        <v>12439</v>
      </c>
      <c r="H26" s="244">
        <f>F26+G26</f>
        <v>30371</v>
      </c>
    </row>
    <row r="27" spans="1:8" ht="21" customHeight="1">
      <c r="A27" s="422" t="s">
        <v>276</v>
      </c>
      <c r="B27" s="423"/>
      <c r="C27" s="423"/>
      <c r="D27" s="423"/>
      <c r="E27" s="423"/>
      <c r="F27" s="423"/>
      <c r="G27" s="423"/>
      <c r="H27" s="423"/>
    </row>
    <row r="28" spans="1:8" ht="30.75" customHeight="1">
      <c r="A28" s="315">
        <v>1</v>
      </c>
      <c r="B28" s="317" t="s">
        <v>378</v>
      </c>
      <c r="C28" s="245">
        <v>0</v>
      </c>
      <c r="D28" s="245">
        <v>0</v>
      </c>
      <c r="E28" s="245">
        <f>C28+D28</f>
        <v>0</v>
      </c>
      <c r="F28" s="245">
        <v>7</v>
      </c>
      <c r="G28" s="245">
        <v>22</v>
      </c>
      <c r="H28" s="245">
        <f>F28+G28</f>
        <v>29</v>
      </c>
    </row>
    <row r="29" spans="1:8" ht="21" customHeight="1">
      <c r="A29" s="318">
        <v>2</v>
      </c>
      <c r="B29" s="319" t="s">
        <v>195</v>
      </c>
      <c r="C29" s="246">
        <v>0</v>
      </c>
      <c r="D29" s="246">
        <v>0</v>
      </c>
      <c r="E29" s="245">
        <f>C29+D29</f>
        <v>0</v>
      </c>
      <c r="F29" s="246">
        <v>132</v>
      </c>
      <c r="G29" s="246">
        <v>186</v>
      </c>
      <c r="H29" s="245">
        <f>F29+G29</f>
        <v>318</v>
      </c>
    </row>
    <row r="30" spans="1:8" ht="21" customHeight="1">
      <c r="A30" s="318">
        <v>3</v>
      </c>
      <c r="B30" s="319" t="s">
        <v>376</v>
      </c>
      <c r="C30" s="246">
        <v>0</v>
      </c>
      <c r="D30" s="246">
        <v>0</v>
      </c>
      <c r="E30" s="245">
        <f>C30+D30</f>
        <v>0</v>
      </c>
      <c r="F30" s="246">
        <v>85</v>
      </c>
      <c r="G30" s="246">
        <v>70</v>
      </c>
      <c r="H30" s="245">
        <f>F30+G30</f>
        <v>155</v>
      </c>
    </row>
    <row r="31" spans="1:8" ht="21" customHeight="1">
      <c r="A31" s="318">
        <v>4</v>
      </c>
      <c r="B31" s="319" t="s">
        <v>377</v>
      </c>
      <c r="C31" s="246">
        <v>0</v>
      </c>
      <c r="D31" s="246">
        <v>0</v>
      </c>
      <c r="E31" s="245">
        <f>C31+D31</f>
        <v>0</v>
      </c>
      <c r="F31" s="246">
        <v>306</v>
      </c>
      <c r="G31" s="246">
        <v>202</v>
      </c>
      <c r="H31" s="245">
        <f>F31+G31</f>
        <v>508</v>
      </c>
    </row>
    <row r="32" spans="1:8" ht="21" customHeight="1">
      <c r="A32" s="318">
        <v>5</v>
      </c>
      <c r="B32" s="75" t="s">
        <v>308</v>
      </c>
      <c r="C32" s="243">
        <f>SUM(C28:C31)</f>
        <v>0</v>
      </c>
      <c r="D32" s="243">
        <f>SUM(D28:D31)</f>
        <v>0</v>
      </c>
      <c r="E32" s="244">
        <f>C32+D32</f>
        <v>0</v>
      </c>
      <c r="F32" s="243">
        <f>SUM(F28:F31)</f>
        <v>530</v>
      </c>
      <c r="G32" s="243">
        <f>SUM(G28:G31)</f>
        <v>480</v>
      </c>
      <c r="H32" s="244">
        <f>F32+G32</f>
        <v>1010</v>
      </c>
    </row>
    <row r="33" spans="1:8" ht="21" customHeight="1">
      <c r="A33" s="422" t="s">
        <v>278</v>
      </c>
      <c r="B33" s="423"/>
      <c r="C33" s="423"/>
      <c r="D33" s="423"/>
      <c r="E33" s="423"/>
      <c r="F33" s="423"/>
      <c r="G33" s="423"/>
      <c r="H33" s="423"/>
    </row>
    <row r="34" spans="1:8" ht="28.5" customHeight="1">
      <c r="A34" s="315">
        <v>1</v>
      </c>
      <c r="B34" s="317" t="s">
        <v>378</v>
      </c>
      <c r="C34" s="245">
        <v>0</v>
      </c>
      <c r="D34" s="245">
        <v>0</v>
      </c>
      <c r="E34" s="245">
        <f>C34+D34</f>
        <v>0</v>
      </c>
      <c r="F34" s="245">
        <v>130</v>
      </c>
      <c r="G34" s="245">
        <v>75</v>
      </c>
      <c r="H34" s="245">
        <f>F34+G34</f>
        <v>205</v>
      </c>
    </row>
    <row r="35" spans="1:8" ht="21" customHeight="1">
      <c r="A35" s="318">
        <v>2</v>
      </c>
      <c r="B35" s="319" t="s">
        <v>195</v>
      </c>
      <c r="C35" s="246">
        <v>0</v>
      </c>
      <c r="D35" s="246">
        <v>0</v>
      </c>
      <c r="E35" s="245">
        <f>C35+D35</f>
        <v>0</v>
      </c>
      <c r="F35" s="246">
        <v>347</v>
      </c>
      <c r="G35" s="246">
        <v>153</v>
      </c>
      <c r="H35" s="245">
        <f>F35+G35</f>
        <v>500</v>
      </c>
    </row>
    <row r="36" spans="1:8" ht="21" customHeight="1">
      <c r="A36" s="318">
        <v>3</v>
      </c>
      <c r="B36" s="319" t="s">
        <v>376</v>
      </c>
      <c r="C36" s="246">
        <v>0</v>
      </c>
      <c r="D36" s="246">
        <v>0</v>
      </c>
      <c r="E36" s="245">
        <f>C36+D36</f>
        <v>0</v>
      </c>
      <c r="F36" s="246">
        <v>64</v>
      </c>
      <c r="G36" s="246">
        <v>16</v>
      </c>
      <c r="H36" s="245">
        <f>F36+G36</f>
        <v>80</v>
      </c>
    </row>
    <row r="37" spans="1:8" ht="21" customHeight="1">
      <c r="A37" s="318">
        <v>4</v>
      </c>
      <c r="B37" s="319" t="s">
        <v>377</v>
      </c>
      <c r="C37" s="246">
        <v>0</v>
      </c>
      <c r="D37" s="246">
        <v>0</v>
      </c>
      <c r="E37" s="245">
        <f>C37+D37</f>
        <v>0</v>
      </c>
      <c r="F37" s="246">
        <v>44</v>
      </c>
      <c r="G37" s="246">
        <v>18</v>
      </c>
      <c r="H37" s="245">
        <f>F37+G37</f>
        <v>62</v>
      </c>
    </row>
    <row r="38" spans="1:8" ht="21" customHeight="1">
      <c r="A38" s="318">
        <v>5</v>
      </c>
      <c r="B38" s="75" t="s">
        <v>308</v>
      </c>
      <c r="C38" s="243">
        <f>SUM(C34:C37)</f>
        <v>0</v>
      </c>
      <c r="D38" s="243">
        <f>SUM(D34:D37)</f>
        <v>0</v>
      </c>
      <c r="E38" s="244">
        <f>C38+D38</f>
        <v>0</v>
      </c>
      <c r="F38" s="243">
        <f>SUM(F34:F37)</f>
        <v>585</v>
      </c>
      <c r="G38" s="243">
        <f>SUM(G34:G37)</f>
        <v>262</v>
      </c>
      <c r="H38" s="244">
        <f>F38+G38</f>
        <v>847</v>
      </c>
    </row>
    <row r="39" spans="1:8" ht="21" customHeight="1">
      <c r="A39" s="422" t="s">
        <v>415</v>
      </c>
      <c r="B39" s="423"/>
      <c r="C39" s="423"/>
      <c r="D39" s="423"/>
      <c r="E39" s="423"/>
      <c r="F39" s="423"/>
      <c r="G39" s="423"/>
      <c r="H39" s="423"/>
    </row>
    <row r="40" spans="1:8" ht="26.25" customHeight="1">
      <c r="A40" s="56">
        <v>1</v>
      </c>
      <c r="B40" s="57" t="s">
        <v>378</v>
      </c>
      <c r="C40" s="245">
        <f aca="true" t="shared" si="0" ref="C40:H40">C22+C28+C34</f>
        <v>292</v>
      </c>
      <c r="D40" s="245">
        <f t="shared" si="0"/>
        <v>455</v>
      </c>
      <c r="E40" s="245">
        <f t="shared" si="0"/>
        <v>747</v>
      </c>
      <c r="F40" s="245">
        <f t="shared" si="0"/>
        <v>1834</v>
      </c>
      <c r="G40" s="245">
        <f t="shared" si="0"/>
        <v>2467</v>
      </c>
      <c r="H40" s="245">
        <f t="shared" si="0"/>
        <v>4301</v>
      </c>
    </row>
    <row r="41" spans="1:8" ht="21" customHeight="1">
      <c r="A41" s="58">
        <v>2</v>
      </c>
      <c r="B41" s="59" t="s">
        <v>195</v>
      </c>
      <c r="C41" s="245">
        <f aca="true" t="shared" si="1" ref="C41:H44">C23+C29+C35</f>
        <v>1790</v>
      </c>
      <c r="D41" s="245">
        <f t="shared" si="1"/>
        <v>1472</v>
      </c>
      <c r="E41" s="245">
        <f t="shared" si="1"/>
        <v>3262</v>
      </c>
      <c r="F41" s="245">
        <f t="shared" si="1"/>
        <v>10700</v>
      </c>
      <c r="G41" s="245">
        <f t="shared" si="1"/>
        <v>8170</v>
      </c>
      <c r="H41" s="245">
        <f t="shared" si="1"/>
        <v>18870</v>
      </c>
    </row>
    <row r="42" spans="1:8" ht="21" customHeight="1">
      <c r="A42" s="58">
        <v>3</v>
      </c>
      <c r="B42" s="59" t="s">
        <v>376</v>
      </c>
      <c r="C42" s="245">
        <f t="shared" si="1"/>
        <v>245</v>
      </c>
      <c r="D42" s="245">
        <f t="shared" si="1"/>
        <v>113</v>
      </c>
      <c r="E42" s="245">
        <f t="shared" si="1"/>
        <v>358</v>
      </c>
      <c r="F42" s="245">
        <f t="shared" si="1"/>
        <v>1684</v>
      </c>
      <c r="G42" s="245">
        <f t="shared" si="1"/>
        <v>692</v>
      </c>
      <c r="H42" s="245">
        <f t="shared" si="1"/>
        <v>2376</v>
      </c>
    </row>
    <row r="43" spans="1:8" ht="21" customHeight="1">
      <c r="A43" s="58">
        <v>4</v>
      </c>
      <c r="B43" s="59" t="s">
        <v>377</v>
      </c>
      <c r="C43" s="245">
        <f t="shared" si="1"/>
        <v>695</v>
      </c>
      <c r="D43" s="245">
        <f t="shared" si="1"/>
        <v>310</v>
      </c>
      <c r="E43" s="245">
        <f t="shared" si="1"/>
        <v>1005</v>
      </c>
      <c r="F43" s="245">
        <f t="shared" si="1"/>
        <v>4829</v>
      </c>
      <c r="G43" s="245">
        <f t="shared" si="1"/>
        <v>1852</v>
      </c>
      <c r="H43" s="245">
        <f t="shared" si="1"/>
        <v>6681</v>
      </c>
    </row>
    <row r="44" spans="1:8" ht="21" customHeight="1">
      <c r="A44" s="58">
        <v>5</v>
      </c>
      <c r="B44" s="75" t="s">
        <v>308</v>
      </c>
      <c r="C44" s="244">
        <f t="shared" si="1"/>
        <v>3022</v>
      </c>
      <c r="D44" s="244">
        <f t="shared" si="1"/>
        <v>2350</v>
      </c>
      <c r="E44" s="244">
        <f t="shared" si="1"/>
        <v>5372</v>
      </c>
      <c r="F44" s="244">
        <f t="shared" si="1"/>
        <v>19047</v>
      </c>
      <c r="G44" s="244">
        <f t="shared" si="1"/>
        <v>13181</v>
      </c>
      <c r="H44" s="244">
        <f t="shared" si="1"/>
        <v>32228</v>
      </c>
    </row>
    <row r="45" spans="1:8" ht="47.25" customHeight="1">
      <c r="A45" s="435" t="s">
        <v>422</v>
      </c>
      <c r="B45" s="435"/>
      <c r="C45" s="447" t="s">
        <v>421</v>
      </c>
      <c r="D45" s="448"/>
      <c r="E45" s="448"/>
      <c r="F45" s="448"/>
      <c r="G45" s="448"/>
      <c r="H45" s="449"/>
    </row>
    <row r="48" spans="1:2" ht="14.25" customHeight="1">
      <c r="A48" s="427" t="s">
        <v>309</v>
      </c>
      <c r="B48" s="427"/>
    </row>
    <row r="49" spans="1:4" ht="15.75" customHeight="1">
      <c r="A49" s="427" t="s">
        <v>310</v>
      </c>
      <c r="B49" s="427"/>
      <c r="C49" s="427"/>
      <c r="D49" s="427"/>
    </row>
  </sheetData>
  <sheetProtection selectLockedCells="1" selectUnlockedCells="1"/>
  <mergeCells count="23">
    <mergeCell ref="B18:B19"/>
    <mergeCell ref="A11:H11"/>
    <mergeCell ref="A49:D49"/>
    <mergeCell ref="C7:H7"/>
    <mergeCell ref="C45:H45"/>
    <mergeCell ref="A16:H16"/>
    <mergeCell ref="A45:B45"/>
    <mergeCell ref="A27:H27"/>
    <mergeCell ref="A14:H14"/>
    <mergeCell ref="A15:H15"/>
    <mergeCell ref="A21:H21"/>
    <mergeCell ref="A33:H33"/>
    <mergeCell ref="A39:H39"/>
    <mergeCell ref="A1:H1"/>
    <mergeCell ref="C3:H3"/>
    <mergeCell ref="C18:E18"/>
    <mergeCell ref="F18:H18"/>
    <mergeCell ref="C5:H5"/>
    <mergeCell ref="A48:B48"/>
    <mergeCell ref="A9:H9"/>
    <mergeCell ref="A12:H12"/>
    <mergeCell ref="A10:H10"/>
    <mergeCell ref="A18:A19"/>
  </mergeCells>
  <printOptions/>
  <pageMargins left="0.75" right="0.75" top="1" bottom="1" header="0.5" footer="0.5"/>
  <pageSetup horizontalDpi="600" verticalDpi="600" orientation="portrait" paperSize="9" scale="91" r:id="rId1"/>
</worksheet>
</file>

<file path=xl/worksheets/sheet6.xml><?xml version="1.0" encoding="utf-8"?>
<worksheet xmlns="http://schemas.openxmlformats.org/spreadsheetml/2006/main" xmlns:r="http://schemas.openxmlformats.org/officeDocument/2006/relationships">
  <dimension ref="A1:K51"/>
  <sheetViews>
    <sheetView view="pageBreakPreview" zoomScaleSheetLayoutView="100" zoomScalePageLayoutView="0" workbookViewId="0" topLeftCell="A4">
      <selection activeCell="J25" sqref="J25"/>
    </sheetView>
  </sheetViews>
  <sheetFormatPr defaultColWidth="9.140625" defaultRowHeight="12.75"/>
  <cols>
    <col min="1" max="1" width="6.7109375" style="25" customWidth="1"/>
    <col min="2" max="2" width="27.7109375" style="25" customWidth="1"/>
    <col min="3" max="4" width="28.28125" style="25" customWidth="1"/>
    <col min="5" max="8" width="8.7109375" style="25" customWidth="1"/>
    <col min="9" max="16384" width="9.140625" style="25" customWidth="1"/>
  </cols>
  <sheetData>
    <row r="1" spans="1:4" s="3" customFormat="1" ht="30" customHeight="1">
      <c r="A1" s="451" t="s">
        <v>65</v>
      </c>
      <c r="B1" s="451"/>
      <c r="C1" s="451"/>
      <c r="D1" s="451"/>
    </row>
    <row r="2" spans="1:4" s="5" customFormat="1" ht="11.25" customHeight="1">
      <c r="A2" s="3"/>
      <c r="B2" s="3"/>
      <c r="C2" s="28"/>
      <c r="D2" s="29"/>
    </row>
    <row r="3" spans="1:4" s="30" customFormat="1" ht="114.75" customHeight="1">
      <c r="A3" s="452" t="s">
        <v>290</v>
      </c>
      <c r="B3" s="452"/>
      <c r="C3" s="453" t="s">
        <v>407</v>
      </c>
      <c r="D3" s="454"/>
    </row>
    <row r="4" spans="1:2" s="5" customFormat="1" ht="14.25">
      <c r="A4" s="6"/>
      <c r="B4" s="6"/>
    </row>
    <row r="5" spans="1:4" s="5" customFormat="1" ht="14.25">
      <c r="A5" s="455" t="s">
        <v>306</v>
      </c>
      <c r="B5" s="455"/>
      <c r="C5" s="456" t="s">
        <v>408</v>
      </c>
      <c r="D5" s="457"/>
    </row>
    <row r="6" spans="1:2" s="5" customFormat="1" ht="14.25">
      <c r="A6" s="6"/>
      <c r="B6" s="6"/>
    </row>
    <row r="7" spans="1:4" s="5" customFormat="1" ht="13.5" customHeight="1">
      <c r="A7" s="471" t="s">
        <v>307</v>
      </c>
      <c r="B7" s="471"/>
      <c r="C7" s="472" t="s">
        <v>424</v>
      </c>
      <c r="D7" s="473"/>
    </row>
    <row r="8" spans="1:2" s="5" customFormat="1" ht="11.25" customHeight="1">
      <c r="A8" s="6"/>
      <c r="B8" s="6"/>
    </row>
    <row r="9" spans="1:4" s="5" customFormat="1" ht="42.75" customHeight="1">
      <c r="A9" s="467" t="s">
        <v>14</v>
      </c>
      <c r="B9" s="467"/>
      <c r="C9" s="467"/>
      <c r="D9" s="467"/>
    </row>
    <row r="10" spans="1:4" s="5" customFormat="1" ht="39" customHeight="1">
      <c r="A10" s="467" t="s">
        <v>298</v>
      </c>
      <c r="B10" s="467"/>
      <c r="C10" s="467"/>
      <c r="D10" s="467"/>
    </row>
    <row r="11" spans="1:2" s="5" customFormat="1" ht="14.25">
      <c r="A11" s="6"/>
      <c r="B11" s="6"/>
    </row>
    <row r="12" spans="1:4" s="7" customFormat="1" ht="14.25" customHeight="1">
      <c r="A12" s="468" t="s">
        <v>305</v>
      </c>
      <c r="B12" s="468"/>
      <c r="C12" s="468"/>
      <c r="D12" s="468"/>
    </row>
    <row r="13" spans="1:11" s="7" customFormat="1" ht="13.5" customHeight="1">
      <c r="A13" s="436" t="s">
        <v>317</v>
      </c>
      <c r="B13" s="436"/>
      <c r="C13" s="436"/>
      <c r="D13" s="436"/>
      <c r="K13" s="32"/>
    </row>
    <row r="14" spans="1:3" s="7" customFormat="1" ht="12" customHeight="1" thickBot="1">
      <c r="A14" s="33"/>
      <c r="B14" s="34"/>
      <c r="C14" s="34"/>
    </row>
    <row r="15" spans="1:4" s="3" customFormat="1" ht="20.25" customHeight="1">
      <c r="A15" s="462" t="s">
        <v>321</v>
      </c>
      <c r="B15" s="459" t="s">
        <v>213</v>
      </c>
      <c r="C15" s="459" t="s">
        <v>220</v>
      </c>
      <c r="D15" s="460"/>
    </row>
    <row r="16" spans="1:4" s="36" customFormat="1" ht="18.75" customHeight="1">
      <c r="A16" s="463"/>
      <c r="B16" s="464"/>
      <c r="C16" s="26" t="s">
        <v>319</v>
      </c>
      <c r="D16" s="35" t="s">
        <v>320</v>
      </c>
    </row>
    <row r="17" spans="1:4" s="3" customFormat="1" ht="15.75" customHeight="1">
      <c r="A17" s="252">
        <v>1</v>
      </c>
      <c r="B17" s="253">
        <v>2</v>
      </c>
      <c r="C17" s="253">
        <v>3</v>
      </c>
      <c r="D17" s="254">
        <v>4</v>
      </c>
    </row>
    <row r="18" spans="1:4" s="3" customFormat="1" ht="12" customHeight="1">
      <c r="A18" s="458" t="s">
        <v>266</v>
      </c>
      <c r="B18" s="458"/>
      <c r="C18" s="458"/>
      <c r="D18" s="458"/>
    </row>
    <row r="19" spans="1:4" s="3" customFormat="1" ht="27" customHeight="1">
      <c r="A19" s="37">
        <v>1</v>
      </c>
      <c r="B19" s="38" t="s">
        <v>299</v>
      </c>
      <c r="C19" s="255">
        <f>415-327</f>
        <v>88</v>
      </c>
      <c r="D19" s="255">
        <v>415</v>
      </c>
    </row>
    <row r="20" spans="1:4" s="3" customFormat="1" ht="27.75" customHeight="1">
      <c r="A20" s="39">
        <v>2</v>
      </c>
      <c r="B20" s="40" t="s">
        <v>223</v>
      </c>
      <c r="C20" s="256">
        <f>99-80</f>
        <v>19</v>
      </c>
      <c r="D20" s="256">
        <v>99</v>
      </c>
    </row>
    <row r="21" spans="1:4" s="3" customFormat="1" ht="27.75" customHeight="1">
      <c r="A21" s="39">
        <v>3</v>
      </c>
      <c r="B21" s="40" t="s">
        <v>224</v>
      </c>
      <c r="C21" s="256">
        <f>33-27</f>
        <v>6</v>
      </c>
      <c r="D21" s="256">
        <v>33</v>
      </c>
    </row>
    <row r="22" spans="1:4" s="3" customFormat="1" ht="27" customHeight="1">
      <c r="A22" s="39">
        <v>4</v>
      </c>
      <c r="B22" s="40" t="s">
        <v>331</v>
      </c>
      <c r="C22" s="256">
        <v>0</v>
      </c>
      <c r="D22" s="256">
        <v>8</v>
      </c>
    </row>
    <row r="23" spans="1:4" s="3" customFormat="1" ht="27" customHeight="1">
      <c r="A23" s="39">
        <v>5</v>
      </c>
      <c r="B23" s="41" t="s">
        <v>308</v>
      </c>
      <c r="C23" s="26">
        <f>SUM(C19:C22)</f>
        <v>113</v>
      </c>
      <c r="D23" s="26">
        <f>SUM(D19:D22)</f>
        <v>555</v>
      </c>
    </row>
    <row r="24" spans="1:4" s="3" customFormat="1" ht="14.25" customHeight="1">
      <c r="A24" s="458" t="s">
        <v>276</v>
      </c>
      <c r="B24" s="458"/>
      <c r="C24" s="458"/>
      <c r="D24" s="458"/>
    </row>
    <row r="25" spans="1:4" s="3" customFormat="1" ht="27" customHeight="1">
      <c r="A25" s="37">
        <v>1</v>
      </c>
      <c r="B25" s="38" t="s">
        <v>299</v>
      </c>
      <c r="C25" s="255">
        <v>0</v>
      </c>
      <c r="D25" s="255">
        <v>0</v>
      </c>
    </row>
    <row r="26" spans="1:4" s="3" customFormat="1" ht="27.75" customHeight="1">
      <c r="A26" s="39">
        <v>2</v>
      </c>
      <c r="B26" s="40" t="s">
        <v>223</v>
      </c>
      <c r="C26" s="255">
        <v>0</v>
      </c>
      <c r="D26" s="255">
        <v>0</v>
      </c>
    </row>
    <row r="27" spans="1:4" s="3" customFormat="1" ht="27.75" customHeight="1">
      <c r="A27" s="39">
        <v>3</v>
      </c>
      <c r="B27" s="40" t="s">
        <v>224</v>
      </c>
      <c r="C27" s="255">
        <v>0</v>
      </c>
      <c r="D27" s="255">
        <v>0</v>
      </c>
    </row>
    <row r="28" spans="1:4" s="3" customFormat="1" ht="27" customHeight="1">
      <c r="A28" s="39">
        <v>4</v>
      </c>
      <c r="B28" s="40" t="s">
        <v>331</v>
      </c>
      <c r="C28" s="255">
        <v>0</v>
      </c>
      <c r="D28" s="255">
        <v>0</v>
      </c>
    </row>
    <row r="29" spans="1:4" s="3" customFormat="1" ht="27" customHeight="1">
      <c r="A29" s="39">
        <v>5</v>
      </c>
      <c r="B29" s="41" t="s">
        <v>308</v>
      </c>
      <c r="C29" s="255">
        <v>0</v>
      </c>
      <c r="D29" s="26">
        <f>SUM(D25:D28)</f>
        <v>0</v>
      </c>
    </row>
    <row r="30" spans="1:4" s="3" customFormat="1" ht="14.25" customHeight="1">
      <c r="A30" s="458" t="s">
        <v>278</v>
      </c>
      <c r="B30" s="458"/>
      <c r="C30" s="458"/>
      <c r="D30" s="458"/>
    </row>
    <row r="31" spans="1:4" s="3" customFormat="1" ht="27" customHeight="1">
      <c r="A31" s="37">
        <v>1</v>
      </c>
      <c r="B31" s="38" t="s">
        <v>299</v>
      </c>
      <c r="C31" s="255">
        <v>0</v>
      </c>
      <c r="D31" s="255">
        <v>0</v>
      </c>
    </row>
    <row r="32" spans="1:4" s="3" customFormat="1" ht="27.75" customHeight="1">
      <c r="A32" s="39">
        <v>2</v>
      </c>
      <c r="B32" s="40" t="s">
        <v>223</v>
      </c>
      <c r="C32" s="255">
        <v>0</v>
      </c>
      <c r="D32" s="255">
        <v>0</v>
      </c>
    </row>
    <row r="33" spans="1:4" s="3" customFormat="1" ht="27.75" customHeight="1">
      <c r="A33" s="39">
        <v>3</v>
      </c>
      <c r="B33" s="40" t="s">
        <v>224</v>
      </c>
      <c r="C33" s="255">
        <v>0</v>
      </c>
      <c r="D33" s="255">
        <v>0</v>
      </c>
    </row>
    <row r="34" spans="1:4" s="3" customFormat="1" ht="27" customHeight="1">
      <c r="A34" s="39">
        <v>4</v>
      </c>
      <c r="B34" s="40" t="s">
        <v>331</v>
      </c>
      <c r="C34" s="255">
        <v>0</v>
      </c>
      <c r="D34" s="255">
        <v>0</v>
      </c>
    </row>
    <row r="35" spans="1:4" s="3" customFormat="1" ht="27" customHeight="1">
      <c r="A35" s="39">
        <v>5</v>
      </c>
      <c r="B35" s="41" t="s">
        <v>308</v>
      </c>
      <c r="C35" s="255">
        <v>0</v>
      </c>
      <c r="D35" s="26">
        <f>SUM(D31:D34)</f>
        <v>0</v>
      </c>
    </row>
    <row r="36" spans="1:4" s="3" customFormat="1" ht="11.25" customHeight="1">
      <c r="A36" s="458" t="s">
        <v>415</v>
      </c>
      <c r="B36" s="458"/>
      <c r="C36" s="458"/>
      <c r="D36" s="458"/>
    </row>
    <row r="37" spans="1:4" s="3" customFormat="1" ht="27" customHeight="1">
      <c r="A37" s="37">
        <v>1</v>
      </c>
      <c r="B37" s="38" t="s">
        <v>299</v>
      </c>
      <c r="C37" s="255">
        <f aca="true" t="shared" si="0" ref="C37:D40">C19</f>
        <v>88</v>
      </c>
      <c r="D37" s="255">
        <f t="shared" si="0"/>
        <v>415</v>
      </c>
    </row>
    <row r="38" spans="1:4" s="3" customFormat="1" ht="27.75" customHeight="1">
      <c r="A38" s="39">
        <v>2</v>
      </c>
      <c r="B38" s="40" t="s">
        <v>223</v>
      </c>
      <c r="C38" s="255">
        <f t="shared" si="0"/>
        <v>19</v>
      </c>
      <c r="D38" s="255">
        <f t="shared" si="0"/>
        <v>99</v>
      </c>
    </row>
    <row r="39" spans="1:4" s="3" customFormat="1" ht="27.75" customHeight="1">
      <c r="A39" s="39">
        <v>3</v>
      </c>
      <c r="B39" s="40" t="s">
        <v>224</v>
      </c>
      <c r="C39" s="255">
        <f t="shared" si="0"/>
        <v>6</v>
      </c>
      <c r="D39" s="255">
        <f t="shared" si="0"/>
        <v>33</v>
      </c>
    </row>
    <row r="40" spans="1:4" s="3" customFormat="1" ht="27" customHeight="1">
      <c r="A40" s="39">
        <v>4</v>
      </c>
      <c r="B40" s="40" t="s">
        <v>331</v>
      </c>
      <c r="C40" s="255">
        <f t="shared" si="0"/>
        <v>0</v>
      </c>
      <c r="D40" s="255">
        <f t="shared" si="0"/>
        <v>8</v>
      </c>
    </row>
    <row r="41" spans="1:4" s="3" customFormat="1" ht="27" customHeight="1">
      <c r="A41" s="39">
        <v>5</v>
      </c>
      <c r="B41" s="41" t="s">
        <v>308</v>
      </c>
      <c r="C41" s="257">
        <f>C23</f>
        <v>113</v>
      </c>
      <c r="D41" s="26">
        <f>SUM(D37:D40)</f>
        <v>555</v>
      </c>
    </row>
    <row r="42" spans="1:4" s="3" customFormat="1" ht="27" customHeight="1">
      <c r="A42" s="464" t="s">
        <v>314</v>
      </c>
      <c r="B42" s="464"/>
      <c r="C42" s="474"/>
      <c r="D42" s="474"/>
    </row>
    <row r="43" spans="1:4" s="3" customFormat="1" ht="15" customHeight="1">
      <c r="A43" s="42"/>
      <c r="B43" s="42"/>
      <c r="C43" s="43"/>
      <c r="D43" s="43"/>
    </row>
    <row r="44" spans="1:4" s="3" customFormat="1" ht="15" customHeight="1">
      <c r="A44" s="470" t="s">
        <v>42</v>
      </c>
      <c r="B44" s="470"/>
      <c r="C44" s="470"/>
      <c r="D44" s="470"/>
    </row>
    <row r="45" spans="1:4" s="45" customFormat="1" ht="112.5" customHeight="1">
      <c r="A45" s="465" t="s">
        <v>146</v>
      </c>
      <c r="B45" s="466"/>
      <c r="C45" s="466"/>
      <c r="D45" s="466"/>
    </row>
    <row r="46" spans="1:4" ht="176.25" customHeight="1">
      <c r="A46" s="465" t="s">
        <v>43</v>
      </c>
      <c r="B46" s="465"/>
      <c r="C46" s="465"/>
      <c r="D46" s="465"/>
    </row>
    <row r="47" spans="1:4" ht="42" customHeight="1">
      <c r="A47" s="469" t="s">
        <v>235</v>
      </c>
      <c r="B47" s="469"/>
      <c r="C47" s="469"/>
      <c r="D47" s="469"/>
    </row>
    <row r="48" spans="1:4" ht="36" customHeight="1">
      <c r="A48" s="469" t="s">
        <v>4</v>
      </c>
      <c r="B48" s="469"/>
      <c r="C48" s="469"/>
      <c r="D48" s="469"/>
    </row>
    <row r="49" spans="1:4" ht="12.75">
      <c r="A49" s="44"/>
      <c r="B49" s="44"/>
      <c r="C49" s="44"/>
      <c r="D49" s="44"/>
    </row>
    <row r="50" spans="1:2" ht="15.75" customHeight="1">
      <c r="A50" s="461" t="s">
        <v>309</v>
      </c>
      <c r="B50" s="461"/>
    </row>
    <row r="51" spans="1:2" ht="15.75" customHeight="1">
      <c r="A51" s="461" t="s">
        <v>310</v>
      </c>
      <c r="B51" s="461"/>
    </row>
  </sheetData>
  <sheetProtection selectLockedCells="1" selectUnlockedCells="1"/>
  <mergeCells count="27">
    <mergeCell ref="A42:B42"/>
    <mergeCell ref="A48:D48"/>
    <mergeCell ref="A44:D44"/>
    <mergeCell ref="A50:B50"/>
    <mergeCell ref="A7:B7"/>
    <mergeCell ref="C7:D7"/>
    <mergeCell ref="A47:D47"/>
    <mergeCell ref="C42:D42"/>
    <mergeCell ref="A9:D9"/>
    <mergeCell ref="A36:D36"/>
    <mergeCell ref="A51:B51"/>
    <mergeCell ref="A15:A16"/>
    <mergeCell ref="B15:B16"/>
    <mergeCell ref="A45:D45"/>
    <mergeCell ref="A46:D46"/>
    <mergeCell ref="A10:D10"/>
    <mergeCell ref="A12:D12"/>
    <mergeCell ref="A13:D13"/>
    <mergeCell ref="A24:D24"/>
    <mergeCell ref="A30:D30"/>
    <mergeCell ref="A1:D1"/>
    <mergeCell ref="A3:B3"/>
    <mergeCell ref="C3:D3"/>
    <mergeCell ref="A5:B5"/>
    <mergeCell ref="C5:D5"/>
    <mergeCell ref="A18:D18"/>
    <mergeCell ref="C15:D15"/>
  </mergeCells>
  <printOptions horizontalCentered="1"/>
  <pageMargins left="0.7875" right="0.7875" top="0.7875000000000001" bottom="0.7875" header="0.5118055555555556" footer="0.5118055555555556"/>
  <pageSetup horizontalDpi="600" verticalDpi="600" orientation="portrait" paperSize="9" scale="81" r:id="rId1"/>
</worksheet>
</file>

<file path=xl/worksheets/sheet7.xml><?xml version="1.0" encoding="utf-8"?>
<worksheet xmlns="http://schemas.openxmlformats.org/spreadsheetml/2006/main" xmlns:r="http://schemas.openxmlformats.org/officeDocument/2006/relationships">
  <dimension ref="A1:N51"/>
  <sheetViews>
    <sheetView view="pageBreakPreview" zoomScaleSheetLayoutView="100" zoomScalePageLayoutView="0" workbookViewId="0" topLeftCell="B34">
      <selection activeCell="F70" sqref="F70"/>
    </sheetView>
  </sheetViews>
  <sheetFormatPr defaultColWidth="9.140625" defaultRowHeight="12.75"/>
  <cols>
    <col min="1" max="1" width="25.28125" style="3" customWidth="1"/>
    <col min="2" max="2" width="27.00390625" style="3" customWidth="1"/>
    <col min="3" max="6" width="18.8515625" style="3" customWidth="1"/>
    <col min="7" max="9" width="19.140625" style="3" customWidth="1"/>
    <col min="10" max="10" width="14.28125" style="3" customWidth="1"/>
    <col min="11" max="11" width="10.00390625" style="3" customWidth="1"/>
    <col min="12" max="12" width="13.00390625" style="3" customWidth="1"/>
    <col min="13" max="13" width="10.00390625" style="3" bestFit="1" customWidth="1"/>
    <col min="14" max="14" width="14.00390625" style="3" customWidth="1"/>
    <col min="15" max="15" width="10.00390625" style="3" bestFit="1" customWidth="1"/>
    <col min="16" max="16384" width="9.140625" style="3" customWidth="1"/>
  </cols>
  <sheetData>
    <row r="1" spans="1:9" ht="21.75" customHeight="1">
      <c r="A1" s="486" t="s">
        <v>358</v>
      </c>
      <c r="B1" s="486"/>
      <c r="C1" s="486"/>
      <c r="D1" s="486"/>
      <c r="E1" s="486"/>
      <c r="F1" s="486"/>
      <c r="G1" s="486"/>
      <c r="H1" s="486"/>
      <c r="I1" s="486"/>
    </row>
    <row r="3" spans="1:9" ht="60" customHeight="1">
      <c r="A3" s="149" t="s">
        <v>290</v>
      </c>
      <c r="B3" s="493" t="s">
        <v>407</v>
      </c>
      <c r="C3" s="493"/>
      <c r="D3" s="493"/>
      <c r="E3" s="493"/>
      <c r="F3" s="493"/>
      <c r="G3" s="493"/>
      <c r="H3" s="493"/>
      <c r="I3" s="493"/>
    </row>
    <row r="5" spans="1:9" s="5" customFormat="1" ht="14.25">
      <c r="A5" s="4" t="s">
        <v>306</v>
      </c>
      <c r="B5" s="487" t="s">
        <v>408</v>
      </c>
      <c r="C5" s="488"/>
      <c r="D5" s="488"/>
      <c r="E5" s="488"/>
      <c r="F5" s="488"/>
      <c r="G5" s="488"/>
      <c r="H5" s="488"/>
      <c r="I5" s="488"/>
    </row>
    <row r="6" s="5" customFormat="1" ht="14.25">
      <c r="A6" s="6"/>
    </row>
    <row r="7" spans="1:9" s="5" customFormat="1" ht="14.25">
      <c r="A7" s="4" t="s">
        <v>307</v>
      </c>
      <c r="B7" s="487" t="s">
        <v>424</v>
      </c>
      <c r="C7" s="488"/>
      <c r="D7" s="488"/>
      <c r="E7" s="488"/>
      <c r="F7" s="488"/>
      <c r="G7" s="488"/>
      <c r="H7" s="488"/>
      <c r="I7" s="488"/>
    </row>
    <row r="9" spans="1:9" s="7" customFormat="1" ht="65.25" customHeight="1">
      <c r="A9" s="489" t="s">
        <v>236</v>
      </c>
      <c r="B9" s="490"/>
      <c r="C9" s="490"/>
      <c r="D9" s="490"/>
      <c r="E9" s="490"/>
      <c r="F9" s="490"/>
      <c r="G9" s="490"/>
      <c r="H9" s="490"/>
      <c r="I9" s="490"/>
    </row>
    <row r="10" spans="1:9" s="7" customFormat="1" ht="52.5" customHeight="1">
      <c r="A10" s="491" t="s">
        <v>5</v>
      </c>
      <c r="B10" s="492"/>
      <c r="C10" s="492"/>
      <c r="D10" s="492"/>
      <c r="E10" s="492"/>
      <c r="F10" s="492"/>
      <c r="G10" s="492"/>
      <c r="H10" s="492"/>
      <c r="I10" s="492"/>
    </row>
    <row r="11" spans="1:9" ht="12.75">
      <c r="A11" s="8"/>
      <c r="B11" s="9"/>
      <c r="C11" s="9"/>
      <c r="D11" s="9"/>
      <c r="E11" s="9"/>
      <c r="F11" s="9"/>
      <c r="G11" s="9"/>
      <c r="H11" s="9"/>
      <c r="I11" s="9"/>
    </row>
    <row r="12" spans="1:9" ht="32.25" customHeight="1">
      <c r="A12" s="438" t="s">
        <v>163</v>
      </c>
      <c r="B12" s="438"/>
      <c r="C12" s="438"/>
      <c r="D12" s="438"/>
      <c r="E12" s="438"/>
      <c r="F12" s="438"/>
      <c r="G12" s="438"/>
      <c r="H12" s="438"/>
      <c r="I12" s="438"/>
    </row>
    <row r="13" spans="1:9" ht="15">
      <c r="A13" s="10"/>
      <c r="B13" s="10"/>
      <c r="C13" s="10"/>
      <c r="D13" s="10"/>
      <c r="E13" s="10"/>
      <c r="F13" s="10"/>
      <c r="G13" s="10"/>
      <c r="H13" s="10"/>
      <c r="I13" s="10"/>
    </row>
    <row r="14" spans="1:14" s="13" customFormat="1" ht="201" customHeight="1">
      <c r="A14" s="481" t="s">
        <v>3</v>
      </c>
      <c r="B14" s="482"/>
      <c r="C14" s="482"/>
      <c r="D14" s="482"/>
      <c r="E14" s="482"/>
      <c r="F14" s="482"/>
      <c r="G14" s="482"/>
      <c r="H14" s="482"/>
      <c r="I14" s="482"/>
      <c r="J14" s="1"/>
      <c r="K14" s="1"/>
      <c r="L14" s="1"/>
      <c r="M14" s="1"/>
      <c r="N14" s="1"/>
    </row>
    <row r="15" spans="1:14" s="13" customFormat="1" ht="12.75">
      <c r="A15" s="482" t="s">
        <v>233</v>
      </c>
      <c r="B15" s="482"/>
      <c r="C15" s="482"/>
      <c r="D15" s="482"/>
      <c r="E15" s="482"/>
      <c r="F15" s="482"/>
      <c r="G15" s="482"/>
      <c r="H15" s="482"/>
      <c r="I15" s="482"/>
      <c r="J15" s="1"/>
      <c r="K15" s="1"/>
      <c r="L15" s="1"/>
      <c r="M15" s="1"/>
      <c r="N15" s="1"/>
    </row>
    <row r="16" spans="1:14" s="13" customFormat="1" ht="27" customHeight="1">
      <c r="A16" s="485" t="s">
        <v>2</v>
      </c>
      <c r="B16" s="485"/>
      <c r="C16" s="485"/>
      <c r="D16" s="485"/>
      <c r="E16" s="485"/>
      <c r="F16" s="485"/>
      <c r="G16" s="485"/>
      <c r="H16" s="485"/>
      <c r="I16" s="485"/>
      <c r="J16" s="1"/>
      <c r="K16" s="1"/>
      <c r="L16" s="1"/>
      <c r="M16" s="1"/>
      <c r="N16" s="1"/>
    </row>
    <row r="17" spans="1:14" s="13" customFormat="1" ht="12.75">
      <c r="A17" s="11"/>
      <c r="B17" s="12"/>
      <c r="C17" s="12"/>
      <c r="D17" s="12"/>
      <c r="E17" s="12"/>
      <c r="F17" s="12"/>
      <c r="G17" s="12"/>
      <c r="H17" s="12"/>
      <c r="I17" s="12"/>
      <c r="J17" s="1"/>
      <c r="K17" s="1"/>
      <c r="L17" s="1"/>
      <c r="M17" s="1"/>
      <c r="N17" s="1"/>
    </row>
    <row r="18" spans="1:8" s="1" customFormat="1" ht="68.25" customHeight="1">
      <c r="A18" s="450" t="s">
        <v>234</v>
      </c>
      <c r="B18" s="450" t="s">
        <v>237</v>
      </c>
      <c r="C18" s="450" t="s">
        <v>6</v>
      </c>
      <c r="D18" s="450"/>
      <c r="E18" s="450" t="s">
        <v>7</v>
      </c>
      <c r="F18" s="450"/>
      <c r="G18" s="450" t="s">
        <v>8</v>
      </c>
      <c r="H18" s="15"/>
    </row>
    <row r="19" spans="1:8" s="1" customFormat="1" ht="51" customHeight="1">
      <c r="A19" s="450"/>
      <c r="B19" s="450"/>
      <c r="C19" s="450" t="s">
        <v>238</v>
      </c>
      <c r="D19" s="450" t="s">
        <v>239</v>
      </c>
      <c r="E19" s="450" t="s">
        <v>238</v>
      </c>
      <c r="F19" s="450" t="s">
        <v>239</v>
      </c>
      <c r="G19" s="450"/>
      <c r="H19" s="15"/>
    </row>
    <row r="20" spans="1:8" s="1" customFormat="1" ht="18" customHeight="1">
      <c r="A20" s="450"/>
      <c r="B20" s="450"/>
      <c r="C20" s="450"/>
      <c r="D20" s="450"/>
      <c r="E20" s="450"/>
      <c r="F20" s="450"/>
      <c r="G20" s="450"/>
      <c r="H20" s="16"/>
    </row>
    <row r="21" spans="1:8" s="2" customFormat="1" ht="12.75">
      <c r="A21" s="17">
        <v>1</v>
      </c>
      <c r="B21" s="17">
        <v>2</v>
      </c>
      <c r="C21" s="17">
        <v>3</v>
      </c>
      <c r="D21" s="17">
        <v>4</v>
      </c>
      <c r="E21" s="17">
        <v>5</v>
      </c>
      <c r="F21" s="17">
        <v>6</v>
      </c>
      <c r="G21" s="17">
        <v>7</v>
      </c>
      <c r="H21" s="18"/>
    </row>
    <row r="22" spans="1:8" ht="275.25" customHeight="1">
      <c r="A22" s="258" t="s">
        <v>266</v>
      </c>
      <c r="B22" s="259" t="s">
        <v>423</v>
      </c>
      <c r="C22" s="261">
        <v>12</v>
      </c>
      <c r="D22" s="261">
        <v>12</v>
      </c>
      <c r="E22" s="262">
        <v>173544663.11</v>
      </c>
      <c r="F22" s="262">
        <v>161613022.01000005</v>
      </c>
      <c r="G22" s="262">
        <v>74520598.83000001</v>
      </c>
      <c r="H22" s="19"/>
    </row>
    <row r="23" spans="1:8" ht="134.25" customHeight="1">
      <c r="A23" s="258" t="s">
        <v>276</v>
      </c>
      <c r="B23" s="259" t="s">
        <v>417</v>
      </c>
      <c r="C23" s="261">
        <v>23</v>
      </c>
      <c r="D23" s="261">
        <v>23</v>
      </c>
      <c r="E23" s="262">
        <v>40192248.629999995</v>
      </c>
      <c r="F23" s="262">
        <v>39066573.29000002</v>
      </c>
      <c r="G23" s="262">
        <v>28565216.27</v>
      </c>
      <c r="H23" s="19"/>
    </row>
    <row r="24" spans="1:8" ht="12.75">
      <c r="A24" s="258" t="s">
        <v>278</v>
      </c>
      <c r="B24" s="259" t="s">
        <v>416</v>
      </c>
      <c r="C24" s="260"/>
      <c r="D24" s="260"/>
      <c r="E24" s="260"/>
      <c r="F24" s="260"/>
      <c r="G24" s="260"/>
      <c r="H24" s="19"/>
    </row>
    <row r="25" spans="1:8" ht="12.75">
      <c r="A25" s="27" t="s">
        <v>314</v>
      </c>
      <c r="B25" s="494"/>
      <c r="C25" s="495"/>
      <c r="D25" s="495"/>
      <c r="E25" s="495"/>
      <c r="F25" s="495"/>
      <c r="G25" s="496"/>
      <c r="H25" s="19"/>
    </row>
    <row r="26" spans="1:8" ht="12.75">
      <c r="A26" s="497"/>
      <c r="B26" s="497"/>
      <c r="C26" s="497"/>
      <c r="D26" s="497"/>
      <c r="E26" s="497"/>
      <c r="F26" s="497"/>
      <c r="G26" s="497"/>
      <c r="H26" s="19"/>
    </row>
    <row r="28" spans="1:9" ht="28.5" customHeight="1">
      <c r="A28" s="438" t="s">
        <v>164</v>
      </c>
      <c r="B28" s="438"/>
      <c r="C28" s="438"/>
      <c r="D28" s="438"/>
      <c r="E28" s="438"/>
      <c r="F28" s="438"/>
      <c r="G28" s="438"/>
      <c r="H28" s="438"/>
      <c r="I28" s="438"/>
    </row>
    <row r="29" spans="1:9" ht="15">
      <c r="A29" s="10"/>
      <c r="B29" s="10"/>
      <c r="C29" s="10"/>
      <c r="D29" s="10"/>
      <c r="E29" s="10"/>
      <c r="F29" s="10"/>
      <c r="G29" s="10"/>
      <c r="H29" s="10"/>
      <c r="I29" s="10"/>
    </row>
    <row r="30" spans="1:9" s="7" customFormat="1" ht="55.5" customHeight="1">
      <c r="A30" s="481" t="s">
        <v>9</v>
      </c>
      <c r="B30" s="482"/>
      <c r="C30" s="482"/>
      <c r="D30" s="482"/>
      <c r="E30" s="482"/>
      <c r="F30" s="482"/>
      <c r="G30" s="482"/>
      <c r="H30" s="482"/>
      <c r="I30" s="482"/>
    </row>
    <row r="31" spans="1:9" s="7" customFormat="1" ht="199.5" customHeight="1">
      <c r="A31" s="483" t="s">
        <v>1</v>
      </c>
      <c r="B31" s="484"/>
      <c r="C31" s="484"/>
      <c r="D31" s="484"/>
      <c r="E31" s="484"/>
      <c r="F31" s="484"/>
      <c r="G31" s="484"/>
      <c r="H31" s="484"/>
      <c r="I31" s="484"/>
    </row>
    <row r="32" spans="1:9" s="7" customFormat="1" ht="12.75">
      <c r="A32" s="485" t="s">
        <v>233</v>
      </c>
      <c r="B32" s="485"/>
      <c r="C32" s="485"/>
      <c r="D32" s="485"/>
      <c r="E32" s="485"/>
      <c r="F32" s="485"/>
      <c r="G32" s="485"/>
      <c r="H32" s="485"/>
      <c r="I32" s="485"/>
    </row>
    <row r="33" spans="1:9" s="7" customFormat="1" ht="27" customHeight="1">
      <c r="A33" s="485" t="s">
        <v>2</v>
      </c>
      <c r="B33" s="485"/>
      <c r="C33" s="485"/>
      <c r="D33" s="485"/>
      <c r="E33" s="485"/>
      <c r="F33" s="485"/>
      <c r="G33" s="485"/>
      <c r="H33" s="485"/>
      <c r="I33" s="485"/>
    </row>
    <row r="34" spans="1:6" s="7" customFormat="1" ht="12.75">
      <c r="A34" s="20"/>
      <c r="B34" s="20"/>
      <c r="C34" s="20"/>
      <c r="D34" s="21"/>
      <c r="E34" s="21"/>
      <c r="F34" s="21"/>
    </row>
    <row r="35" spans="1:9" ht="24.75" customHeight="1">
      <c r="A35" s="450" t="s">
        <v>234</v>
      </c>
      <c r="B35" s="450" t="s">
        <v>10</v>
      </c>
      <c r="C35" s="450"/>
      <c r="D35" s="450" t="s">
        <v>11</v>
      </c>
      <c r="E35" s="450"/>
      <c r="F35" s="450" t="s">
        <v>12</v>
      </c>
      <c r="G35" s="450"/>
      <c r="H35" s="450"/>
      <c r="I35" s="450"/>
    </row>
    <row r="36" spans="1:9" ht="27" customHeight="1">
      <c r="A36" s="450"/>
      <c r="B36" s="450"/>
      <c r="C36" s="450"/>
      <c r="D36" s="450"/>
      <c r="E36" s="450"/>
      <c r="F36" s="450" t="s">
        <v>240</v>
      </c>
      <c r="G36" s="450" t="s">
        <v>241</v>
      </c>
      <c r="H36" s="450"/>
      <c r="I36" s="450"/>
    </row>
    <row r="37" spans="1:9" ht="33.75" customHeight="1">
      <c r="A37" s="450"/>
      <c r="B37" s="450" t="s">
        <v>238</v>
      </c>
      <c r="C37" s="450" t="s">
        <v>239</v>
      </c>
      <c r="D37" s="450" t="s">
        <v>238</v>
      </c>
      <c r="E37" s="450" t="s">
        <v>239</v>
      </c>
      <c r="F37" s="450"/>
      <c r="G37" s="14" t="s">
        <v>202</v>
      </c>
      <c r="H37" s="14" t="s">
        <v>242</v>
      </c>
      <c r="I37" s="14" t="s">
        <v>243</v>
      </c>
    </row>
    <row r="38" spans="1:9" ht="35.25" customHeight="1">
      <c r="A38" s="450"/>
      <c r="B38" s="450"/>
      <c r="C38" s="450"/>
      <c r="D38" s="450"/>
      <c r="E38" s="450"/>
      <c r="F38" s="450"/>
      <c r="G38" s="14" t="s">
        <v>244</v>
      </c>
      <c r="H38" s="14" t="s">
        <v>244</v>
      </c>
      <c r="I38" s="14" t="s">
        <v>244</v>
      </c>
    </row>
    <row r="39" spans="1:9" ht="14.25" customHeight="1">
      <c r="A39" s="17">
        <v>1</v>
      </c>
      <c r="B39" s="22">
        <v>2</v>
      </c>
      <c r="C39" s="22">
        <v>3</v>
      </c>
      <c r="D39" s="22">
        <v>4</v>
      </c>
      <c r="E39" s="22">
        <v>5</v>
      </c>
      <c r="F39" s="22" t="s">
        <v>230</v>
      </c>
      <c r="G39" s="22">
        <v>7</v>
      </c>
      <c r="H39" s="22">
        <v>8</v>
      </c>
      <c r="I39" s="22">
        <v>9</v>
      </c>
    </row>
    <row r="40" spans="1:9" ht="14.25" customHeight="1">
      <c r="A40" s="476" t="s">
        <v>13</v>
      </c>
      <c r="B40" s="476"/>
      <c r="C40" s="476"/>
      <c r="D40" s="476"/>
      <c r="E40" s="476"/>
      <c r="F40" s="476"/>
      <c r="G40" s="476"/>
      <c r="H40" s="476"/>
      <c r="I40" s="476"/>
    </row>
    <row r="41" spans="1:9" s="264" customFormat="1" ht="12.75">
      <c r="A41" s="263" t="s">
        <v>266</v>
      </c>
      <c r="B41" s="263">
        <v>0</v>
      </c>
      <c r="C41" s="263">
        <v>0</v>
      </c>
      <c r="D41" s="265">
        <v>0</v>
      </c>
      <c r="E41" s="265">
        <v>0</v>
      </c>
      <c r="F41" s="265">
        <v>0</v>
      </c>
      <c r="G41" s="265">
        <v>0</v>
      </c>
      <c r="H41" s="265">
        <v>0</v>
      </c>
      <c r="I41" s="265">
        <v>0</v>
      </c>
    </row>
    <row r="42" spans="1:9" s="264" customFormat="1" ht="12.75">
      <c r="A42" s="263" t="s">
        <v>276</v>
      </c>
      <c r="B42" s="263">
        <v>0</v>
      </c>
      <c r="C42" s="263">
        <v>0</v>
      </c>
      <c r="D42" s="265">
        <v>0</v>
      </c>
      <c r="E42" s="265">
        <v>0</v>
      </c>
      <c r="F42" s="265">
        <v>0</v>
      </c>
      <c r="G42" s="265">
        <v>0</v>
      </c>
      <c r="H42" s="265">
        <v>0</v>
      </c>
      <c r="I42" s="265">
        <v>0</v>
      </c>
    </row>
    <row r="43" spans="1:9" s="264" customFormat="1" ht="12.75">
      <c r="A43" s="263" t="s">
        <v>278</v>
      </c>
      <c r="B43" s="263">
        <v>0</v>
      </c>
      <c r="C43" s="263">
        <v>0</v>
      </c>
      <c r="D43" s="265">
        <v>0</v>
      </c>
      <c r="E43" s="265">
        <v>0</v>
      </c>
      <c r="F43" s="265">
        <v>0</v>
      </c>
      <c r="G43" s="265">
        <v>0</v>
      </c>
      <c r="H43" s="265">
        <v>0</v>
      </c>
      <c r="I43" s="265">
        <v>0</v>
      </c>
    </row>
    <row r="44" spans="1:9" s="264" customFormat="1" ht="12.75">
      <c r="A44" s="477" t="s">
        <v>418</v>
      </c>
      <c r="B44" s="477"/>
      <c r="C44" s="477"/>
      <c r="D44" s="477"/>
      <c r="E44" s="477"/>
      <c r="F44" s="477"/>
      <c r="G44" s="477"/>
      <c r="H44" s="477"/>
      <c r="I44" s="477"/>
    </row>
    <row r="45" spans="1:9" s="264" customFormat="1" ht="15.75">
      <c r="A45" s="263" t="s">
        <v>266</v>
      </c>
      <c r="B45" s="263">
        <v>12</v>
      </c>
      <c r="C45" s="263">
        <v>12</v>
      </c>
      <c r="D45" s="262">
        <v>173544663.11</v>
      </c>
      <c r="E45" s="262">
        <v>161613022.01000005</v>
      </c>
      <c r="F45" s="322">
        <f>SUM(G45:I45)</f>
        <v>74451998.83</v>
      </c>
      <c r="G45" s="322">
        <v>72430739.66</v>
      </c>
      <c r="H45" s="322">
        <v>1569366.55</v>
      </c>
      <c r="I45" s="322">
        <v>451892.62</v>
      </c>
    </row>
    <row r="46" spans="1:9" s="264" customFormat="1" ht="15.75">
      <c r="A46" s="263" t="s">
        <v>276</v>
      </c>
      <c r="B46" s="263">
        <v>22</v>
      </c>
      <c r="C46" s="263">
        <v>22</v>
      </c>
      <c r="D46" s="262">
        <v>40192248.629999995</v>
      </c>
      <c r="E46" s="262">
        <v>39066573.29000002</v>
      </c>
      <c r="F46" s="262">
        <f>SUM(G46:I46)</f>
        <v>28565216.27</v>
      </c>
      <c r="G46" s="262">
        <v>28565216.27</v>
      </c>
      <c r="H46" s="265">
        <v>0</v>
      </c>
      <c r="I46" s="265">
        <v>0</v>
      </c>
    </row>
    <row r="47" spans="1:9" s="264" customFormat="1" ht="12.75">
      <c r="A47" s="263" t="s">
        <v>278</v>
      </c>
      <c r="B47" s="263">
        <v>0</v>
      </c>
      <c r="C47" s="263">
        <v>0</v>
      </c>
      <c r="D47" s="266">
        <v>0</v>
      </c>
      <c r="E47" s="266">
        <v>0</v>
      </c>
      <c r="F47" s="265">
        <f>SUM(G47:I47)</f>
        <v>0</v>
      </c>
      <c r="G47" s="265">
        <v>0</v>
      </c>
      <c r="H47" s="265">
        <v>0</v>
      </c>
      <c r="I47" s="265">
        <v>0</v>
      </c>
    </row>
    <row r="48" spans="1:9" ht="12.75">
      <c r="A48" s="27" t="s">
        <v>314</v>
      </c>
      <c r="B48" s="478" t="s">
        <v>427</v>
      </c>
      <c r="C48" s="479"/>
      <c r="D48" s="479"/>
      <c r="E48" s="479"/>
      <c r="F48" s="479"/>
      <c r="G48" s="479"/>
      <c r="H48" s="479"/>
      <c r="I48" s="480"/>
    </row>
    <row r="50" spans="1:2" ht="12.75">
      <c r="A50" s="461" t="s">
        <v>309</v>
      </c>
      <c r="B50" s="461"/>
    </row>
    <row r="51" spans="1:2" ht="12.75">
      <c r="A51" s="475" t="s">
        <v>310</v>
      </c>
      <c r="B51" s="461"/>
    </row>
  </sheetData>
  <sheetProtection/>
  <mergeCells count="41">
    <mergeCell ref="A12:I12"/>
    <mergeCell ref="G18:G20"/>
    <mergeCell ref="E19:E20"/>
    <mergeCell ref="E18:F18"/>
    <mergeCell ref="A32:I32"/>
    <mergeCell ref="B25:G25"/>
    <mergeCell ref="A26:G26"/>
    <mergeCell ref="A28:I28"/>
    <mergeCell ref="A16:I16"/>
    <mergeCell ref="A1:I1"/>
    <mergeCell ref="B5:I5"/>
    <mergeCell ref="B7:I7"/>
    <mergeCell ref="A9:I9"/>
    <mergeCell ref="A10:I10"/>
    <mergeCell ref="B3:I3"/>
    <mergeCell ref="A14:I14"/>
    <mergeCell ref="A15:I15"/>
    <mergeCell ref="C18:D18"/>
    <mergeCell ref="A33:I33"/>
    <mergeCell ref="C19:C20"/>
    <mergeCell ref="D19:D20"/>
    <mergeCell ref="A18:A20"/>
    <mergeCell ref="B18:B20"/>
    <mergeCell ref="F19:F20"/>
    <mergeCell ref="F35:I35"/>
    <mergeCell ref="F36:F38"/>
    <mergeCell ref="G36:I36"/>
    <mergeCell ref="B37:B38"/>
    <mergeCell ref="B48:I48"/>
    <mergeCell ref="A30:I30"/>
    <mergeCell ref="A31:I31"/>
    <mergeCell ref="A50:B50"/>
    <mergeCell ref="A51:B51"/>
    <mergeCell ref="D37:D38"/>
    <mergeCell ref="E37:E38"/>
    <mergeCell ref="A40:I40"/>
    <mergeCell ref="A44:I44"/>
    <mergeCell ref="A35:A38"/>
    <mergeCell ref="C37:C38"/>
    <mergeCell ref="D35:E36"/>
    <mergeCell ref="B35:C36"/>
  </mergeCells>
  <printOptions/>
  <pageMargins left="0.75" right="0.75" top="1" bottom="1" header="0.5" footer="0.5"/>
  <pageSetup fitToHeight="2" horizontalDpi="600" verticalDpi="600" orientation="landscape" paperSize="9" scale="63" r:id="rId1"/>
  <rowBreaks count="1" manualBreakCount="1">
    <brk id="25" max="255" man="1"/>
  </rowBreaks>
</worksheet>
</file>

<file path=xl/worksheets/sheet8.xml><?xml version="1.0" encoding="utf-8"?>
<worksheet xmlns="http://schemas.openxmlformats.org/spreadsheetml/2006/main" xmlns:r="http://schemas.openxmlformats.org/officeDocument/2006/relationships">
  <sheetPr>
    <pageSetUpPr fitToPage="1"/>
  </sheetPr>
  <dimension ref="A1:F55"/>
  <sheetViews>
    <sheetView tabSelected="1" view="pageBreakPreview" zoomScaleSheetLayoutView="100" zoomScalePageLayoutView="0" workbookViewId="0" topLeftCell="A24">
      <selection activeCell="D41" sqref="D41"/>
    </sheetView>
  </sheetViews>
  <sheetFormatPr defaultColWidth="9.140625" defaultRowHeight="12.75"/>
  <cols>
    <col min="2" max="2" width="13.28125" style="0" customWidth="1"/>
    <col min="3" max="3" width="46.28125" style="0" customWidth="1"/>
    <col min="4" max="4" width="26.28125" style="0" customWidth="1"/>
    <col min="5" max="5" width="46.57421875" style="0" customWidth="1"/>
    <col min="6" max="6" width="21.28125" style="0" customWidth="1"/>
  </cols>
  <sheetData>
    <row r="1" spans="1:3" ht="12.75">
      <c r="A1" s="76" t="s">
        <v>165</v>
      </c>
      <c r="B1" s="76"/>
      <c r="C1" s="76"/>
    </row>
    <row r="2" spans="1:3" ht="12.75">
      <c r="A2" s="76"/>
      <c r="B2" s="76"/>
      <c r="C2" s="76"/>
    </row>
    <row r="3" spans="1:6" ht="43.5" customHeight="1">
      <c r="A3" s="520" t="s">
        <v>290</v>
      </c>
      <c r="B3" s="521"/>
      <c r="C3" s="522" t="s">
        <v>407</v>
      </c>
      <c r="D3" s="523"/>
      <c r="E3" s="523"/>
      <c r="F3" s="523"/>
    </row>
    <row r="4" spans="1:3" ht="12.75">
      <c r="A4" s="76"/>
      <c r="B4" s="76"/>
      <c r="C4" s="76"/>
    </row>
    <row r="5" spans="1:6" ht="14.25">
      <c r="A5" s="525" t="s">
        <v>306</v>
      </c>
      <c r="B5" s="525"/>
      <c r="C5" s="487" t="s">
        <v>408</v>
      </c>
      <c r="D5" s="488"/>
      <c r="E5" s="488"/>
      <c r="F5" s="488"/>
    </row>
    <row r="6" spans="1:6" ht="14.25">
      <c r="A6" s="6"/>
      <c r="B6" s="5"/>
      <c r="C6" s="5"/>
      <c r="D6" s="5"/>
      <c r="E6" s="5"/>
      <c r="F6" s="5"/>
    </row>
    <row r="7" spans="1:6" ht="14.25">
      <c r="A7" s="525" t="s">
        <v>307</v>
      </c>
      <c r="B7" s="525"/>
      <c r="C7" s="487" t="s">
        <v>424</v>
      </c>
      <c r="D7" s="488"/>
      <c r="E7" s="488"/>
      <c r="F7" s="488"/>
    </row>
    <row r="8" spans="1:6" ht="14.25">
      <c r="A8" s="4"/>
      <c r="B8" s="24"/>
      <c r="C8" s="24"/>
      <c r="D8" s="24"/>
      <c r="E8" s="135"/>
      <c r="F8" s="134"/>
    </row>
    <row r="9" spans="3:6" ht="54.75" customHeight="1" thickBot="1">
      <c r="C9" s="512" t="s">
        <v>67</v>
      </c>
      <c r="D9" s="512"/>
      <c r="E9" s="513" t="s">
        <v>68</v>
      </c>
      <c r="F9" s="514"/>
    </row>
    <row r="10" spans="1:6" ht="13.5" customHeight="1" thickBot="1">
      <c r="A10" s="499" t="s">
        <v>69</v>
      </c>
      <c r="B10" s="500"/>
      <c r="C10" s="505" t="s">
        <v>70</v>
      </c>
      <c r="D10" s="506"/>
      <c r="E10" s="507" t="s">
        <v>71</v>
      </c>
      <c r="F10" s="508"/>
    </row>
    <row r="11" spans="1:6" ht="26.25" thickBot="1">
      <c r="A11" s="501"/>
      <c r="B11" s="502"/>
      <c r="C11" s="77" t="s">
        <v>72</v>
      </c>
      <c r="D11" s="78">
        <v>949</v>
      </c>
      <c r="E11" s="79"/>
      <c r="F11" s="80"/>
    </row>
    <row r="12" spans="1:6" ht="26.25" customHeight="1" thickBot="1">
      <c r="A12" s="501"/>
      <c r="B12" s="502"/>
      <c r="C12" s="81" t="s">
        <v>73</v>
      </c>
      <c r="D12" s="82">
        <v>273</v>
      </c>
      <c r="E12" s="83"/>
      <c r="F12" s="84"/>
    </row>
    <row r="13" spans="1:6" ht="33.75" customHeight="1" thickBot="1">
      <c r="A13" s="501"/>
      <c r="B13" s="502"/>
      <c r="C13" s="81" t="s">
        <v>74</v>
      </c>
      <c r="D13" s="78">
        <v>81</v>
      </c>
      <c r="E13" s="85" t="s">
        <v>75</v>
      </c>
      <c r="F13" s="78">
        <v>0</v>
      </c>
    </row>
    <row r="14" spans="1:6" ht="13.5" thickBot="1">
      <c r="A14" s="501"/>
      <c r="B14" s="502"/>
      <c r="C14" s="86" t="s">
        <v>76</v>
      </c>
      <c r="D14" s="87">
        <v>81</v>
      </c>
      <c r="E14" s="88" t="s">
        <v>77</v>
      </c>
      <c r="F14" s="89">
        <f>E16+F16</f>
        <v>0</v>
      </c>
    </row>
    <row r="15" spans="1:6" ht="12.75">
      <c r="A15" s="501"/>
      <c r="B15" s="502"/>
      <c r="C15" s="90" t="s">
        <v>78</v>
      </c>
      <c r="D15" s="91" t="s">
        <v>79</v>
      </c>
      <c r="E15" s="92" t="s">
        <v>78</v>
      </c>
      <c r="F15" s="93" t="s">
        <v>79</v>
      </c>
    </row>
    <row r="16" spans="1:6" ht="12.75" customHeight="1" thickBot="1">
      <c r="A16" s="501"/>
      <c r="B16" s="502"/>
      <c r="C16" s="94">
        <v>48</v>
      </c>
      <c r="D16" s="95">
        <v>33</v>
      </c>
      <c r="E16" s="96">
        <v>0</v>
      </c>
      <c r="F16" s="97">
        <v>0</v>
      </c>
    </row>
    <row r="17" spans="1:6" ht="18" customHeight="1" thickBot="1">
      <c r="A17" s="501"/>
      <c r="B17" s="502"/>
      <c r="C17" s="98" t="s">
        <v>80</v>
      </c>
      <c r="D17" s="99">
        <v>0</v>
      </c>
      <c r="E17" s="100" t="s">
        <v>80</v>
      </c>
      <c r="F17" s="78">
        <v>0</v>
      </c>
    </row>
    <row r="18" spans="1:6" ht="13.5" thickBot="1">
      <c r="A18" s="501"/>
      <c r="B18" s="502"/>
      <c r="C18" s="101" t="s">
        <v>81</v>
      </c>
      <c r="D18" s="78">
        <v>0</v>
      </c>
      <c r="E18" s="100" t="s">
        <v>81</v>
      </c>
      <c r="F18" s="78">
        <v>0</v>
      </c>
    </row>
    <row r="19" spans="1:6" ht="13.5" thickBot="1">
      <c r="A19" s="501"/>
      <c r="B19" s="502"/>
      <c r="C19" s="101" t="s">
        <v>82</v>
      </c>
      <c r="D19" s="78">
        <v>0</v>
      </c>
      <c r="E19" s="100" t="s">
        <v>82</v>
      </c>
      <c r="F19" s="78">
        <v>0</v>
      </c>
    </row>
    <row r="20" spans="1:6" ht="51.75" thickBot="1">
      <c r="A20" s="503"/>
      <c r="B20" s="504"/>
      <c r="C20" s="81" t="s">
        <v>83</v>
      </c>
      <c r="D20" s="102">
        <v>12</v>
      </c>
      <c r="E20" s="103" t="s">
        <v>84</v>
      </c>
      <c r="F20" s="82">
        <v>0</v>
      </c>
    </row>
    <row r="21" spans="1:6" ht="39" customHeight="1" thickBot="1">
      <c r="A21" s="526" t="s">
        <v>85</v>
      </c>
      <c r="B21" s="104"/>
      <c r="C21" s="77" t="s">
        <v>86</v>
      </c>
      <c r="D21" s="105">
        <v>799</v>
      </c>
      <c r="E21" s="79"/>
      <c r="F21" s="80"/>
    </row>
    <row r="22" spans="1:6" ht="64.5" thickBot="1">
      <c r="A22" s="527"/>
      <c r="B22" s="528" t="s">
        <v>87</v>
      </c>
      <c r="C22" s="77" t="s">
        <v>88</v>
      </c>
      <c r="D22" s="105">
        <v>388</v>
      </c>
      <c r="E22" s="83"/>
      <c r="F22" s="84"/>
    </row>
    <row r="23" spans="1:6" ht="80.25" customHeight="1" thickBot="1">
      <c r="A23" s="527"/>
      <c r="B23" s="529"/>
      <c r="C23" s="77" t="s">
        <v>89</v>
      </c>
      <c r="D23" s="78">
        <v>50</v>
      </c>
      <c r="E23" s="106" t="s">
        <v>90</v>
      </c>
      <c r="F23" s="99">
        <v>0</v>
      </c>
    </row>
    <row r="24" spans="1:6" ht="13.5" thickBot="1">
      <c r="A24" s="527"/>
      <c r="B24" s="529"/>
      <c r="C24" s="107" t="s">
        <v>91</v>
      </c>
      <c r="D24" s="108">
        <v>50</v>
      </c>
      <c r="E24" s="92" t="s">
        <v>92</v>
      </c>
      <c r="F24" s="109">
        <f>E26+F26</f>
        <v>0</v>
      </c>
    </row>
    <row r="25" spans="1:6" ht="12.75">
      <c r="A25" s="527"/>
      <c r="B25" s="529"/>
      <c r="C25" s="107" t="s">
        <v>93</v>
      </c>
      <c r="D25" s="110" t="s">
        <v>94</v>
      </c>
      <c r="E25" s="111" t="s">
        <v>93</v>
      </c>
      <c r="F25" s="93" t="s">
        <v>94</v>
      </c>
    </row>
    <row r="26" spans="1:6" ht="13.5" thickBot="1">
      <c r="A26" s="527"/>
      <c r="B26" s="529"/>
      <c r="C26" s="112">
        <v>2</v>
      </c>
      <c r="D26" s="113">
        <v>48</v>
      </c>
      <c r="E26" s="114">
        <v>0</v>
      </c>
      <c r="F26" s="97">
        <v>0</v>
      </c>
    </row>
    <row r="27" spans="1:6" ht="18.75" customHeight="1" thickBot="1">
      <c r="A27" s="527"/>
      <c r="B27" s="529"/>
      <c r="C27" s="106" t="s">
        <v>95</v>
      </c>
      <c r="D27" s="115">
        <v>0</v>
      </c>
      <c r="E27" s="100" t="s">
        <v>96</v>
      </c>
      <c r="F27" s="78">
        <v>0</v>
      </c>
    </row>
    <row r="28" spans="1:6" ht="13.5" thickBot="1">
      <c r="A28" s="527"/>
      <c r="B28" s="529"/>
      <c r="C28" s="116" t="s">
        <v>97</v>
      </c>
      <c r="D28" s="115">
        <v>0</v>
      </c>
      <c r="E28" s="100" t="s">
        <v>97</v>
      </c>
      <c r="F28" s="78">
        <v>0</v>
      </c>
    </row>
    <row r="29" spans="1:6" ht="13.5" thickBot="1">
      <c r="A29" s="527"/>
      <c r="B29" s="529"/>
      <c r="C29" s="116" t="s">
        <v>98</v>
      </c>
      <c r="D29" s="115">
        <v>0</v>
      </c>
      <c r="E29" s="100" t="s">
        <v>98</v>
      </c>
      <c r="F29" s="78">
        <v>0</v>
      </c>
    </row>
    <row r="30" spans="1:6" ht="64.5" thickBot="1">
      <c r="A30" s="527"/>
      <c r="B30" s="530"/>
      <c r="C30" s="77" t="s">
        <v>99</v>
      </c>
      <c r="D30" s="115">
        <v>0</v>
      </c>
      <c r="E30" s="85" t="s">
        <v>100</v>
      </c>
      <c r="F30" s="78">
        <v>0</v>
      </c>
    </row>
    <row r="31" spans="1:6" ht="83.25" customHeight="1" thickBot="1">
      <c r="A31" s="527"/>
      <c r="B31" s="509" t="s">
        <v>101</v>
      </c>
      <c r="C31" s="77" t="s">
        <v>102</v>
      </c>
      <c r="D31" s="78">
        <v>204</v>
      </c>
      <c r="E31" s="117"/>
      <c r="F31" s="118"/>
    </row>
    <row r="32" spans="1:6" ht="77.25" thickBot="1">
      <c r="A32" s="527"/>
      <c r="B32" s="510"/>
      <c r="C32" s="119" t="s">
        <v>103</v>
      </c>
      <c r="D32" s="120">
        <v>10</v>
      </c>
      <c r="E32" s="121" t="s">
        <v>104</v>
      </c>
      <c r="F32" s="78">
        <v>0</v>
      </c>
    </row>
    <row r="33" spans="1:6" ht="13.5" thickBot="1">
      <c r="A33" s="527"/>
      <c r="B33" s="510"/>
      <c r="C33" s="90" t="s">
        <v>105</v>
      </c>
      <c r="D33" s="108">
        <v>10</v>
      </c>
      <c r="E33" s="122" t="s">
        <v>106</v>
      </c>
      <c r="F33" s="89">
        <f>E35+F35</f>
        <v>0</v>
      </c>
    </row>
    <row r="34" spans="1:6" ht="12.75">
      <c r="A34" s="527"/>
      <c r="B34" s="510"/>
      <c r="C34" s="123" t="s">
        <v>107</v>
      </c>
      <c r="D34" s="124" t="s">
        <v>108</v>
      </c>
      <c r="E34" s="125" t="s">
        <v>109</v>
      </c>
      <c r="F34" s="109" t="s">
        <v>110</v>
      </c>
    </row>
    <row r="35" spans="1:6" ht="13.5" thickBot="1">
      <c r="A35" s="527"/>
      <c r="B35" s="510"/>
      <c r="C35" s="126">
        <v>3</v>
      </c>
      <c r="D35" s="127">
        <v>7</v>
      </c>
      <c r="E35" s="96">
        <v>0</v>
      </c>
      <c r="F35" s="97">
        <v>0</v>
      </c>
    </row>
    <row r="36" spans="1:6" ht="12" customHeight="1" thickBot="1">
      <c r="A36" s="527"/>
      <c r="B36" s="510"/>
      <c r="C36" s="116" t="s">
        <v>111</v>
      </c>
      <c r="D36" s="78">
        <v>0</v>
      </c>
      <c r="E36" s="100" t="s">
        <v>112</v>
      </c>
      <c r="F36" s="78">
        <v>0</v>
      </c>
    </row>
    <row r="37" spans="1:6" ht="13.5" thickBot="1">
      <c r="A37" s="527"/>
      <c r="B37" s="510"/>
      <c r="C37" s="116" t="s">
        <v>113</v>
      </c>
      <c r="D37" s="78">
        <v>0</v>
      </c>
      <c r="E37" s="100" t="s">
        <v>113</v>
      </c>
      <c r="F37" s="78">
        <v>0</v>
      </c>
    </row>
    <row r="38" spans="1:6" ht="13.5" thickBot="1">
      <c r="A38" s="527"/>
      <c r="B38" s="510"/>
      <c r="C38" s="116" t="s">
        <v>114</v>
      </c>
      <c r="D38" s="78">
        <v>0</v>
      </c>
      <c r="E38" s="100" t="s">
        <v>114</v>
      </c>
      <c r="F38" s="78">
        <v>0</v>
      </c>
    </row>
    <row r="39" spans="1:6" ht="64.5" thickBot="1">
      <c r="A39" s="527"/>
      <c r="B39" s="511"/>
      <c r="C39" s="128" t="s">
        <v>115</v>
      </c>
      <c r="D39" s="82">
        <v>0</v>
      </c>
      <c r="E39" s="128" t="s">
        <v>116</v>
      </c>
      <c r="F39" s="82">
        <v>0</v>
      </c>
    </row>
    <row r="40" spans="1:6" ht="69" customHeight="1" thickBot="1">
      <c r="A40" s="515" t="s">
        <v>117</v>
      </c>
      <c r="B40" s="129" t="s">
        <v>118</v>
      </c>
      <c r="C40" s="130" t="s">
        <v>119</v>
      </c>
      <c r="D40" s="78">
        <v>10</v>
      </c>
      <c r="E40" s="77" t="s">
        <v>120</v>
      </c>
      <c r="F40" s="78">
        <v>0</v>
      </c>
    </row>
    <row r="41" spans="1:6" ht="38.25" customHeight="1" thickBot="1">
      <c r="A41" s="516"/>
      <c r="B41" s="518" t="s">
        <v>121</v>
      </c>
      <c r="C41" s="131"/>
      <c r="D41" s="80"/>
      <c r="E41" s="132" t="s">
        <v>180</v>
      </c>
      <c r="F41" s="78">
        <v>0</v>
      </c>
    </row>
    <row r="42" spans="1:6" ht="54" customHeight="1" thickBot="1">
      <c r="A42" s="517"/>
      <c r="B42" s="519"/>
      <c r="C42" s="133"/>
      <c r="D42" s="84"/>
      <c r="E42" s="132" t="s">
        <v>181</v>
      </c>
      <c r="F42" s="78">
        <v>0</v>
      </c>
    </row>
    <row r="43" ht="12.75">
      <c r="A43" s="2"/>
    </row>
    <row r="44" ht="12.75">
      <c r="A44" s="2" t="s">
        <v>182</v>
      </c>
    </row>
    <row r="45" spans="1:6" ht="12.75">
      <c r="A45" s="498" t="s">
        <v>122</v>
      </c>
      <c r="B45" s="498"/>
      <c r="C45" s="498"/>
      <c r="D45" s="498"/>
      <c r="E45" s="498"/>
      <c r="F45" s="498"/>
    </row>
    <row r="46" ht="12.75">
      <c r="A46" t="s">
        <v>183</v>
      </c>
    </row>
    <row r="47" ht="12.75">
      <c r="A47" t="s">
        <v>184</v>
      </c>
    </row>
    <row r="48" ht="12.75">
      <c r="A48" t="s">
        <v>185</v>
      </c>
    </row>
    <row r="49" ht="12.75">
      <c r="A49" t="s">
        <v>186</v>
      </c>
    </row>
    <row r="50" ht="12.75">
      <c r="A50" t="s">
        <v>187</v>
      </c>
    </row>
    <row r="51" ht="12.75">
      <c r="A51" t="s">
        <v>188</v>
      </c>
    </row>
    <row r="52" ht="12.75">
      <c r="A52" t="s">
        <v>189</v>
      </c>
    </row>
    <row r="53" ht="9.75" customHeight="1">
      <c r="A53" s="2"/>
    </row>
    <row r="54" spans="1:2" ht="12.75">
      <c r="A54" s="461" t="s">
        <v>309</v>
      </c>
      <c r="B54" s="461"/>
    </row>
    <row r="55" spans="1:3" ht="12.75" customHeight="1">
      <c r="A55" s="524" t="s">
        <v>310</v>
      </c>
      <c r="B55" s="524"/>
      <c r="C55" s="524"/>
    </row>
  </sheetData>
  <sheetProtection/>
  <mergeCells count="19">
    <mergeCell ref="A3:B3"/>
    <mergeCell ref="C3:F3"/>
    <mergeCell ref="A54:B54"/>
    <mergeCell ref="A55:C55"/>
    <mergeCell ref="C5:F5"/>
    <mergeCell ref="C7:F7"/>
    <mergeCell ref="A5:B5"/>
    <mergeCell ref="A7:B7"/>
    <mergeCell ref="A21:A39"/>
    <mergeCell ref="B22:B30"/>
    <mergeCell ref="A45:F45"/>
    <mergeCell ref="A10:B20"/>
    <mergeCell ref="C10:D10"/>
    <mergeCell ref="E10:F10"/>
    <mergeCell ref="B31:B39"/>
    <mergeCell ref="C9:D9"/>
    <mergeCell ref="E9:F9"/>
    <mergeCell ref="A40:A42"/>
    <mergeCell ref="B41:B42"/>
  </mergeCells>
  <printOptions/>
  <pageMargins left="0.5905511811023623" right="0.5905511811023623" top="0.5905511811023623" bottom="0.5905511811023623" header="0.5118110236220472" footer="0.5118110236220472"/>
  <pageSetup fitToHeight="3" fitToWidth="1" horizontalDpi="300" verticalDpi="300" orientation="portrait" paperSize="9" scale="56" r:id="rId1"/>
  <rowBreaks count="1" manualBreakCount="1">
    <brk id="29" max="255" man="1"/>
  </rowBreaks>
</worksheet>
</file>

<file path=xl/worksheets/sheet9.xml><?xml version="1.0" encoding="utf-8"?>
<worksheet xmlns="http://schemas.openxmlformats.org/spreadsheetml/2006/main" xmlns:r="http://schemas.openxmlformats.org/officeDocument/2006/relationships">
  <sheetPr>
    <pageSetUpPr fitToPage="1"/>
  </sheetPr>
  <dimension ref="A1:P43"/>
  <sheetViews>
    <sheetView view="pageBreakPreview" zoomScale="85" zoomScaleSheetLayoutView="85" zoomScalePageLayoutView="0" workbookViewId="0" topLeftCell="A7">
      <selection activeCell="O29" sqref="O29"/>
    </sheetView>
  </sheetViews>
  <sheetFormatPr defaultColWidth="9.140625" defaultRowHeight="12.75"/>
  <cols>
    <col min="1" max="1" width="4.28125" style="137" customWidth="1"/>
    <col min="2" max="2" width="48.140625" style="137" customWidth="1"/>
    <col min="3" max="5" width="10.00390625" style="137" customWidth="1"/>
    <col min="6" max="8" width="11.7109375" style="137" customWidth="1"/>
    <col min="9" max="10" width="12.28125" style="137" bestFit="1" customWidth="1"/>
    <col min="11" max="11" width="12.140625" style="137" customWidth="1"/>
    <col min="12" max="16384" width="9.140625" style="137" customWidth="1"/>
  </cols>
  <sheetData>
    <row r="1" spans="1:14" ht="18.75" customHeight="1">
      <c r="A1" s="531" t="s">
        <v>156</v>
      </c>
      <c r="B1" s="531"/>
      <c r="C1" s="531"/>
      <c r="D1" s="531"/>
      <c r="E1" s="531"/>
      <c r="F1" s="531"/>
      <c r="G1" s="531"/>
      <c r="H1" s="531"/>
      <c r="I1" s="531"/>
      <c r="J1" s="531"/>
      <c r="K1" s="531"/>
      <c r="L1" s="136"/>
      <c r="M1" s="136"/>
      <c r="N1" s="136"/>
    </row>
    <row r="2" spans="1:14" ht="12.75">
      <c r="A2" s="146"/>
      <c r="B2" s="146"/>
      <c r="C2" s="146"/>
      <c r="D2" s="146"/>
      <c r="E2" s="146"/>
      <c r="F2" s="146"/>
      <c r="G2" s="146"/>
      <c r="H2" s="146"/>
      <c r="I2" s="146"/>
      <c r="J2" s="146"/>
      <c r="K2" s="146"/>
      <c r="L2" s="136"/>
      <c r="M2" s="136"/>
      <c r="N2" s="136"/>
    </row>
    <row r="3" spans="1:14" ht="57.75" customHeight="1">
      <c r="A3" s="534" t="s">
        <v>290</v>
      </c>
      <c r="B3" s="534"/>
      <c r="C3" s="536" t="s">
        <v>407</v>
      </c>
      <c r="D3" s="536"/>
      <c r="E3" s="536"/>
      <c r="F3" s="536"/>
      <c r="G3" s="536"/>
      <c r="H3" s="536"/>
      <c r="I3" s="536"/>
      <c r="J3" s="536"/>
      <c r="K3" s="536"/>
      <c r="L3" s="136"/>
      <c r="M3" s="136"/>
      <c r="N3" s="136"/>
    </row>
    <row r="4" spans="1:14" ht="14.25">
      <c r="A4" s="6"/>
      <c r="B4" s="6"/>
      <c r="C4" s="146"/>
      <c r="D4" s="146"/>
      <c r="E4" s="146"/>
      <c r="F4" s="146"/>
      <c r="G4" s="146"/>
      <c r="H4" s="146"/>
      <c r="I4" s="146"/>
      <c r="J4" s="146"/>
      <c r="K4" s="146"/>
      <c r="L4" s="136"/>
      <c r="M4" s="136"/>
      <c r="N4" s="136"/>
    </row>
    <row r="5" spans="1:14" ht="18.75" customHeight="1">
      <c r="A5" s="535" t="s">
        <v>306</v>
      </c>
      <c r="B5" s="535"/>
      <c r="C5" s="536" t="s">
        <v>408</v>
      </c>
      <c r="D5" s="536"/>
      <c r="E5" s="536"/>
      <c r="F5" s="536"/>
      <c r="G5" s="536"/>
      <c r="H5" s="536"/>
      <c r="I5" s="536"/>
      <c r="J5" s="536"/>
      <c r="K5" s="536"/>
      <c r="L5" s="136"/>
      <c r="M5" s="136"/>
      <c r="N5" s="136"/>
    </row>
    <row r="6" spans="1:14" ht="14.25">
      <c r="A6" s="6"/>
      <c r="B6" s="6"/>
      <c r="C6" s="146"/>
      <c r="D6" s="146"/>
      <c r="E6" s="146"/>
      <c r="F6" s="146"/>
      <c r="G6" s="146"/>
      <c r="H6" s="146"/>
      <c r="I6" s="146"/>
      <c r="J6" s="146"/>
      <c r="K6" s="146"/>
      <c r="L6" s="136"/>
      <c r="M6" s="136"/>
      <c r="N6" s="136"/>
    </row>
    <row r="7" spans="1:14" ht="18.75" customHeight="1">
      <c r="A7" s="535" t="s">
        <v>307</v>
      </c>
      <c r="B7" s="535"/>
      <c r="C7" s="536" t="s">
        <v>424</v>
      </c>
      <c r="D7" s="536"/>
      <c r="E7" s="536"/>
      <c r="F7" s="536"/>
      <c r="G7" s="536"/>
      <c r="H7" s="536"/>
      <c r="I7" s="536"/>
      <c r="J7" s="536"/>
      <c r="K7" s="536"/>
      <c r="L7" s="136"/>
      <c r="M7" s="136"/>
      <c r="N7" s="136"/>
    </row>
    <row r="8" spans="1:14" ht="12.75">
      <c r="A8" s="146"/>
      <c r="B8" s="146"/>
      <c r="C8" s="146"/>
      <c r="D8" s="146"/>
      <c r="E8" s="146"/>
      <c r="F8" s="146"/>
      <c r="G8" s="146"/>
      <c r="H8" s="146"/>
      <c r="I8" s="146"/>
      <c r="J8" s="146"/>
      <c r="K8" s="146"/>
      <c r="L8" s="136"/>
      <c r="M8" s="136"/>
      <c r="N8" s="136"/>
    </row>
    <row r="9" spans="1:13" ht="17.25" customHeight="1">
      <c r="A9" s="537" t="s">
        <v>55</v>
      </c>
      <c r="B9" s="537"/>
      <c r="C9" s="537"/>
      <c r="D9" s="537"/>
      <c r="E9" s="537"/>
      <c r="F9" s="537"/>
      <c r="G9" s="537"/>
      <c r="H9" s="537"/>
      <c r="I9" s="537"/>
      <c r="J9" s="537"/>
      <c r="K9" s="537"/>
      <c r="L9" s="148"/>
      <c r="M9" s="148"/>
    </row>
    <row r="10" spans="1:11" ht="15" customHeight="1">
      <c r="A10" s="532" t="s">
        <v>60</v>
      </c>
      <c r="B10" s="532"/>
      <c r="C10" s="532"/>
      <c r="D10" s="532"/>
      <c r="E10" s="532"/>
      <c r="F10" s="532"/>
      <c r="G10" s="532"/>
      <c r="H10" s="532"/>
      <c r="I10" s="532"/>
      <c r="J10" s="532"/>
      <c r="K10" s="532"/>
    </row>
    <row r="11" spans="1:11" ht="52.5" customHeight="1">
      <c r="A11" s="533" t="s">
        <v>384</v>
      </c>
      <c r="B11" s="533"/>
      <c r="C11" s="533"/>
      <c r="D11" s="533"/>
      <c r="E11" s="533"/>
      <c r="F11" s="533"/>
      <c r="G11" s="533"/>
      <c r="H11" s="533"/>
      <c r="I11" s="533"/>
      <c r="J11" s="533"/>
      <c r="K11" s="533"/>
    </row>
    <row r="12" spans="1:11" ht="46.5" customHeight="1">
      <c r="A12" s="533" t="s">
        <v>36</v>
      </c>
      <c r="B12" s="533"/>
      <c r="C12" s="533"/>
      <c r="D12" s="533"/>
      <c r="E12" s="533"/>
      <c r="F12" s="533"/>
      <c r="G12" s="533"/>
      <c r="H12" s="533"/>
      <c r="I12" s="533"/>
      <c r="J12" s="533"/>
      <c r="K12" s="533"/>
    </row>
    <row r="13" ht="15" customHeight="1"/>
    <row r="14" spans="1:11" s="136" customFormat="1" ht="51" customHeight="1">
      <c r="A14" s="540" t="s">
        <v>321</v>
      </c>
      <c r="B14" s="540" t="s">
        <v>167</v>
      </c>
      <c r="C14" s="540" t="s">
        <v>53</v>
      </c>
      <c r="D14" s="540"/>
      <c r="E14" s="540"/>
      <c r="F14" s="540" t="s">
        <v>168</v>
      </c>
      <c r="G14" s="540"/>
      <c r="H14" s="540"/>
      <c r="I14" s="540" t="s">
        <v>144</v>
      </c>
      <c r="J14" s="540"/>
      <c r="K14" s="540"/>
    </row>
    <row r="15" spans="1:11" s="136" customFormat="1" ht="18" customHeight="1">
      <c r="A15" s="540"/>
      <c r="B15" s="540"/>
      <c r="C15" s="138" t="s">
        <v>312</v>
      </c>
      <c r="D15" s="138" t="s">
        <v>313</v>
      </c>
      <c r="E15" s="138" t="s">
        <v>308</v>
      </c>
      <c r="F15" s="138" t="s">
        <v>312</v>
      </c>
      <c r="G15" s="138" t="s">
        <v>313</v>
      </c>
      <c r="H15" s="138" t="s">
        <v>308</v>
      </c>
      <c r="I15" s="138" t="s">
        <v>312</v>
      </c>
      <c r="J15" s="138" t="s">
        <v>313</v>
      </c>
      <c r="K15" s="138" t="s">
        <v>308</v>
      </c>
    </row>
    <row r="16" spans="1:11" s="136" customFormat="1" ht="15.75" customHeight="1">
      <c r="A16" s="139">
        <v>1</v>
      </c>
      <c r="B16" s="139">
        <v>2</v>
      </c>
      <c r="C16" s="139">
        <v>3</v>
      </c>
      <c r="D16" s="139">
        <v>4</v>
      </c>
      <c r="E16" s="139" t="s">
        <v>57</v>
      </c>
      <c r="F16" s="139">
        <v>6</v>
      </c>
      <c r="G16" s="139">
        <v>7</v>
      </c>
      <c r="H16" s="139" t="s">
        <v>58</v>
      </c>
      <c r="I16" s="139" t="s">
        <v>59</v>
      </c>
      <c r="J16" s="139" t="s">
        <v>169</v>
      </c>
      <c r="K16" s="139" t="s">
        <v>170</v>
      </c>
    </row>
    <row r="17" spans="1:11" ht="20.25" customHeight="1">
      <c r="A17" s="538" t="s">
        <v>334</v>
      </c>
      <c r="B17" s="538"/>
      <c r="C17" s="538"/>
      <c r="D17" s="538"/>
      <c r="E17" s="538"/>
      <c r="F17" s="538"/>
      <c r="G17" s="538"/>
      <c r="H17" s="538"/>
      <c r="I17" s="538"/>
      <c r="J17" s="538"/>
      <c r="K17" s="538"/>
    </row>
    <row r="18" spans="1:11" ht="20.25" customHeight="1">
      <c r="A18" s="539" t="s">
        <v>246</v>
      </c>
      <c r="B18" s="539"/>
      <c r="C18" s="539"/>
      <c r="D18" s="539"/>
      <c r="E18" s="539"/>
      <c r="F18" s="539"/>
      <c r="G18" s="539"/>
      <c r="H18" s="539"/>
      <c r="I18" s="539"/>
      <c r="J18" s="539"/>
      <c r="K18" s="539"/>
    </row>
    <row r="19" spans="1:11" ht="20.25" customHeight="1">
      <c r="A19" s="140">
        <v>1</v>
      </c>
      <c r="B19" s="141" t="s">
        <v>174</v>
      </c>
      <c r="C19" s="142"/>
      <c r="D19" s="142"/>
      <c r="E19" s="142"/>
      <c r="F19" s="142"/>
      <c r="G19" s="142"/>
      <c r="H19" s="142"/>
      <c r="I19" s="143"/>
      <c r="J19" s="143"/>
      <c r="K19" s="143"/>
    </row>
    <row r="20" spans="1:11" ht="20.25" customHeight="1">
      <c r="A20" s="538" t="s">
        <v>347</v>
      </c>
      <c r="B20" s="538"/>
      <c r="C20" s="538"/>
      <c r="D20" s="538"/>
      <c r="E20" s="538"/>
      <c r="F20" s="538"/>
      <c r="G20" s="538"/>
      <c r="H20" s="538"/>
      <c r="I20" s="538"/>
      <c r="J20" s="538"/>
      <c r="K20" s="538"/>
    </row>
    <row r="21" spans="1:11" ht="20.25" customHeight="1">
      <c r="A21" s="539" t="s">
        <v>266</v>
      </c>
      <c r="B21" s="539"/>
      <c r="C21" s="539"/>
      <c r="D21" s="539"/>
      <c r="E21" s="539"/>
      <c r="F21" s="539"/>
      <c r="G21" s="539"/>
      <c r="H21" s="539"/>
      <c r="I21" s="539"/>
      <c r="J21" s="539"/>
      <c r="K21" s="539"/>
    </row>
    <row r="22" spans="1:16" ht="20.25" customHeight="1">
      <c r="A22" s="140">
        <v>1</v>
      </c>
      <c r="B22" s="141" t="s">
        <v>171</v>
      </c>
      <c r="C22" s="267">
        <v>2590</v>
      </c>
      <c r="D22" s="267">
        <v>2005</v>
      </c>
      <c r="E22" s="269">
        <f aca="true" t="shared" si="0" ref="E22:E27">SUM(C22:D22)</f>
        <v>4595</v>
      </c>
      <c r="F22" s="267">
        <v>1588</v>
      </c>
      <c r="G22" s="267">
        <v>1428</v>
      </c>
      <c r="H22" s="269">
        <f aca="true" t="shared" si="1" ref="H22:H27">SUM(F22:G22)</f>
        <v>3016</v>
      </c>
      <c r="I22" s="268">
        <f aca="true" t="shared" si="2" ref="I22:I27">F22/C22</f>
        <v>0.6131274131274131</v>
      </c>
      <c r="J22" s="268">
        <f aca="true" t="shared" si="3" ref="J22:K27">G22/D22</f>
        <v>0.712219451371571</v>
      </c>
      <c r="K22" s="268">
        <f t="shared" si="3"/>
        <v>0.6563656147986943</v>
      </c>
      <c r="N22" s="310"/>
      <c r="O22" s="310"/>
      <c r="P22" s="310"/>
    </row>
    <row r="23" spans="1:11" ht="32.25" customHeight="1">
      <c r="A23" s="140">
        <v>2</v>
      </c>
      <c r="B23" s="141" t="s">
        <v>172</v>
      </c>
      <c r="C23" s="267">
        <v>264</v>
      </c>
      <c r="D23" s="267">
        <v>224</v>
      </c>
      <c r="E23" s="269">
        <f t="shared" si="0"/>
        <v>488</v>
      </c>
      <c r="F23" s="267">
        <v>179</v>
      </c>
      <c r="G23" s="267">
        <v>167</v>
      </c>
      <c r="H23" s="269">
        <f t="shared" si="1"/>
        <v>346</v>
      </c>
      <c r="I23" s="268">
        <f t="shared" si="2"/>
        <v>0.678030303030303</v>
      </c>
      <c r="J23" s="268">
        <f t="shared" si="3"/>
        <v>0.7455357142857143</v>
      </c>
      <c r="K23" s="268">
        <f t="shared" si="3"/>
        <v>0.7090163934426229</v>
      </c>
    </row>
    <row r="24" spans="1:11" ht="20.25" customHeight="1">
      <c r="A24" s="140">
        <v>3</v>
      </c>
      <c r="B24" s="141" t="s">
        <v>0</v>
      </c>
      <c r="C24" s="267">
        <v>1284</v>
      </c>
      <c r="D24" s="267">
        <v>999</v>
      </c>
      <c r="E24" s="269">
        <f t="shared" si="0"/>
        <v>2283</v>
      </c>
      <c r="F24" s="267">
        <v>844</v>
      </c>
      <c r="G24" s="267">
        <v>734</v>
      </c>
      <c r="H24" s="269">
        <f t="shared" si="1"/>
        <v>1578</v>
      </c>
      <c r="I24" s="268">
        <f t="shared" si="2"/>
        <v>0.6573208722741433</v>
      </c>
      <c r="J24" s="268">
        <f t="shared" si="3"/>
        <v>0.7347347347347347</v>
      </c>
      <c r="K24" s="268">
        <f t="shared" si="3"/>
        <v>0.6911957950065704</v>
      </c>
    </row>
    <row r="25" spans="1:11" ht="20.25" customHeight="1">
      <c r="A25" s="140">
        <v>4</v>
      </c>
      <c r="B25" s="141" t="s">
        <v>173</v>
      </c>
      <c r="C25" s="267">
        <v>347</v>
      </c>
      <c r="D25" s="267">
        <v>432</v>
      </c>
      <c r="E25" s="269">
        <f t="shared" si="0"/>
        <v>779</v>
      </c>
      <c r="F25" s="267">
        <v>167</v>
      </c>
      <c r="G25" s="267">
        <v>260</v>
      </c>
      <c r="H25" s="269">
        <f t="shared" si="1"/>
        <v>427</v>
      </c>
      <c r="I25" s="268">
        <f t="shared" si="2"/>
        <v>0.4812680115273775</v>
      </c>
      <c r="J25" s="268">
        <f t="shared" si="3"/>
        <v>0.6018518518518519</v>
      </c>
      <c r="K25" s="268">
        <f t="shared" si="3"/>
        <v>0.5481386392811296</v>
      </c>
    </row>
    <row r="26" spans="1:11" ht="20.25" customHeight="1">
      <c r="A26" s="140">
        <v>5</v>
      </c>
      <c r="B26" s="141" t="s">
        <v>332</v>
      </c>
      <c r="C26" s="267">
        <v>313</v>
      </c>
      <c r="D26" s="267">
        <v>153</v>
      </c>
      <c r="E26" s="269">
        <f t="shared" si="0"/>
        <v>466</v>
      </c>
      <c r="F26" s="267">
        <v>139</v>
      </c>
      <c r="G26" s="267">
        <v>75</v>
      </c>
      <c r="H26" s="269">
        <f t="shared" si="1"/>
        <v>214</v>
      </c>
      <c r="I26" s="268">
        <f t="shared" si="2"/>
        <v>0.4440894568690096</v>
      </c>
      <c r="J26" s="268">
        <f t="shared" si="3"/>
        <v>0.49019607843137253</v>
      </c>
      <c r="K26" s="268">
        <f t="shared" si="3"/>
        <v>0.4592274678111588</v>
      </c>
    </row>
    <row r="27" spans="1:11" ht="20.25" customHeight="1">
      <c r="A27" s="140">
        <v>6</v>
      </c>
      <c r="B27" s="141" t="s">
        <v>324</v>
      </c>
      <c r="C27" s="267">
        <v>1067</v>
      </c>
      <c r="D27" s="267">
        <v>687</v>
      </c>
      <c r="E27" s="269">
        <f t="shared" si="0"/>
        <v>1754</v>
      </c>
      <c r="F27" s="267">
        <v>618</v>
      </c>
      <c r="G27" s="267">
        <v>475</v>
      </c>
      <c r="H27" s="269">
        <f t="shared" si="1"/>
        <v>1093</v>
      </c>
      <c r="I27" s="268">
        <f t="shared" si="2"/>
        <v>0.5791940018744143</v>
      </c>
      <c r="J27" s="268">
        <f t="shared" si="3"/>
        <v>0.6914119359534207</v>
      </c>
      <c r="K27" s="268">
        <f t="shared" si="3"/>
        <v>0.6231470923603193</v>
      </c>
    </row>
    <row r="28" spans="1:11" ht="20.25" customHeight="1">
      <c r="A28" s="538" t="s">
        <v>349</v>
      </c>
      <c r="B28" s="538"/>
      <c r="C28" s="538"/>
      <c r="D28" s="538"/>
      <c r="E28" s="538"/>
      <c r="F28" s="538"/>
      <c r="G28" s="538"/>
      <c r="H28" s="538"/>
      <c r="I28" s="538"/>
      <c r="J28" s="538"/>
      <c r="K28" s="538"/>
    </row>
    <row r="29" spans="1:11" ht="20.25" customHeight="1">
      <c r="A29" s="539" t="s">
        <v>280</v>
      </c>
      <c r="B29" s="539"/>
      <c r="C29" s="539"/>
      <c r="D29" s="539"/>
      <c r="E29" s="539"/>
      <c r="F29" s="539"/>
      <c r="G29" s="539"/>
      <c r="H29" s="539"/>
      <c r="I29" s="539"/>
      <c r="J29" s="539"/>
      <c r="K29" s="539"/>
    </row>
    <row r="30" spans="1:11" ht="20.25" customHeight="1">
      <c r="A30" s="140">
        <v>1</v>
      </c>
      <c r="B30" s="141" t="s">
        <v>174</v>
      </c>
      <c r="C30" s="142"/>
      <c r="D30" s="142"/>
      <c r="E30" s="142"/>
      <c r="F30" s="142"/>
      <c r="G30" s="142"/>
      <c r="H30" s="142"/>
      <c r="I30" s="143"/>
      <c r="J30" s="143"/>
      <c r="K30" s="143"/>
    </row>
    <row r="31" spans="1:11" ht="20.25" customHeight="1">
      <c r="A31" s="539" t="s">
        <v>161</v>
      </c>
      <c r="B31" s="539"/>
      <c r="C31" s="539"/>
      <c r="D31" s="539"/>
      <c r="E31" s="539"/>
      <c r="F31" s="539"/>
      <c r="G31" s="539"/>
      <c r="H31" s="539"/>
      <c r="I31" s="539"/>
      <c r="J31" s="539"/>
      <c r="K31" s="539"/>
    </row>
    <row r="32" spans="1:11" ht="20.25" customHeight="1">
      <c r="A32" s="140">
        <v>1</v>
      </c>
      <c r="B32" s="141" t="s">
        <v>174</v>
      </c>
      <c r="C32" s="142"/>
      <c r="D32" s="142"/>
      <c r="E32" s="142"/>
      <c r="F32" s="142"/>
      <c r="G32" s="142"/>
      <c r="H32" s="142"/>
      <c r="I32" s="143"/>
      <c r="J32" s="143"/>
      <c r="K32" s="143"/>
    </row>
    <row r="33" spans="1:11" ht="20.25" customHeight="1">
      <c r="A33" s="538" t="s">
        <v>351</v>
      </c>
      <c r="B33" s="538"/>
      <c r="C33" s="538"/>
      <c r="D33" s="538"/>
      <c r="E33" s="538"/>
      <c r="F33" s="538"/>
      <c r="G33" s="538"/>
      <c r="H33" s="538"/>
      <c r="I33" s="538"/>
      <c r="J33" s="538"/>
      <c r="K33" s="538"/>
    </row>
    <row r="34" spans="1:11" ht="20.25" customHeight="1">
      <c r="A34" s="539" t="s">
        <v>283</v>
      </c>
      <c r="B34" s="539"/>
      <c r="C34" s="539"/>
      <c r="D34" s="539"/>
      <c r="E34" s="539"/>
      <c r="F34" s="539"/>
      <c r="G34" s="539"/>
      <c r="H34" s="539"/>
      <c r="I34" s="539"/>
      <c r="J34" s="539"/>
      <c r="K34" s="539"/>
    </row>
    <row r="35" spans="1:11" ht="20.25" customHeight="1">
      <c r="A35" s="140">
        <v>1</v>
      </c>
      <c r="B35" s="141" t="s">
        <v>127</v>
      </c>
      <c r="C35" s="142"/>
      <c r="D35" s="142"/>
      <c r="E35" s="142"/>
      <c r="F35" s="142"/>
      <c r="G35" s="142"/>
      <c r="H35" s="142"/>
      <c r="I35" s="143"/>
      <c r="J35" s="143"/>
      <c r="K35" s="143"/>
    </row>
    <row r="36" spans="1:11" s="145" customFormat="1" ht="24" customHeight="1">
      <c r="A36" s="541" t="s">
        <v>61</v>
      </c>
      <c r="B36" s="541"/>
      <c r="C36" s="541"/>
      <c r="D36" s="541"/>
      <c r="E36" s="541"/>
      <c r="F36" s="541"/>
      <c r="G36" s="541"/>
      <c r="H36" s="541"/>
      <c r="I36" s="541"/>
      <c r="J36" s="541"/>
      <c r="K36" s="541"/>
    </row>
    <row r="37" spans="1:11" ht="20.25" customHeight="1">
      <c r="A37" s="140" t="s">
        <v>300</v>
      </c>
      <c r="B37" s="140" t="s">
        <v>212</v>
      </c>
      <c r="C37" s="142"/>
      <c r="D37" s="142"/>
      <c r="E37" s="142"/>
      <c r="F37" s="142"/>
      <c r="G37" s="142"/>
      <c r="H37" s="142"/>
      <c r="I37" s="142"/>
      <c r="J37" s="143"/>
      <c r="K37" s="143"/>
    </row>
    <row r="38" spans="1:11" ht="20.25" customHeight="1">
      <c r="A38" s="545" t="s">
        <v>314</v>
      </c>
      <c r="B38" s="545"/>
      <c r="C38" s="546"/>
      <c r="D38" s="546"/>
      <c r="E38" s="546"/>
      <c r="F38" s="546"/>
      <c r="G38" s="546"/>
      <c r="H38" s="546"/>
      <c r="I38" s="546"/>
      <c r="J38" s="546"/>
      <c r="K38" s="546"/>
    </row>
    <row r="39" spans="1:11" ht="12.75">
      <c r="A39" s="542" t="s">
        <v>128</v>
      </c>
      <c r="B39" s="542"/>
      <c r="C39" s="542"/>
      <c r="D39" s="542"/>
      <c r="E39" s="542"/>
      <c r="F39" s="542"/>
      <c r="G39" s="542"/>
      <c r="H39" s="542"/>
      <c r="I39" s="542"/>
      <c r="J39" s="542"/>
      <c r="K39" s="542"/>
    </row>
    <row r="40" spans="1:11" ht="27" customHeight="1">
      <c r="A40" s="531" t="s">
        <v>129</v>
      </c>
      <c r="B40" s="531"/>
      <c r="C40" s="531"/>
      <c r="D40" s="531"/>
      <c r="E40" s="531"/>
      <c r="F40" s="531"/>
      <c r="G40" s="531"/>
      <c r="H40" s="531"/>
      <c r="I40" s="531"/>
      <c r="J40" s="531"/>
      <c r="K40" s="531"/>
    </row>
    <row r="42" spans="1:3" ht="12.75">
      <c r="A42" s="543" t="s">
        <v>309</v>
      </c>
      <c r="B42" s="543"/>
      <c r="C42"/>
    </row>
    <row r="43" spans="1:3" ht="12.75" customHeight="1">
      <c r="A43" s="544" t="s">
        <v>310</v>
      </c>
      <c r="B43" s="544"/>
      <c r="C43" s="147"/>
    </row>
  </sheetData>
  <sheetProtection/>
  <mergeCells count="32">
    <mergeCell ref="A39:K39"/>
    <mergeCell ref="A21:K21"/>
    <mergeCell ref="A28:K28"/>
    <mergeCell ref="A42:B42"/>
    <mergeCell ref="A43:B43"/>
    <mergeCell ref="A40:K40"/>
    <mergeCell ref="A38:B38"/>
    <mergeCell ref="C38:K38"/>
    <mergeCell ref="A34:K34"/>
    <mergeCell ref="A31:K31"/>
    <mergeCell ref="A36:K36"/>
    <mergeCell ref="F14:H14"/>
    <mergeCell ref="I14:K14"/>
    <mergeCell ref="B14:B15"/>
    <mergeCell ref="C14:E14"/>
    <mergeCell ref="A33:K33"/>
    <mergeCell ref="A12:K12"/>
    <mergeCell ref="A17:K17"/>
    <mergeCell ref="A18:K18"/>
    <mergeCell ref="A29:K29"/>
    <mergeCell ref="C5:K5"/>
    <mergeCell ref="C7:K7"/>
    <mergeCell ref="A14:A15"/>
    <mergeCell ref="A20:K20"/>
    <mergeCell ref="A1:K1"/>
    <mergeCell ref="A10:K10"/>
    <mergeCell ref="A11:K11"/>
    <mergeCell ref="A3:B3"/>
    <mergeCell ref="A5:B5"/>
    <mergeCell ref="A7:B7"/>
    <mergeCell ref="C3:K3"/>
    <mergeCell ref="A9:K9"/>
  </mergeCells>
  <printOptions horizontalCentered="1" verticalCentered="1"/>
  <pageMargins left="0.5905511811023623" right="0.5905511811023623" top="0.5905511811023623" bottom="0.5905511811023623" header="0.31496062992125984" footer="0.31496062992125984"/>
  <pageSetup fitToHeight="1" fitToWidth="1" horizontalDpi="600" verticalDpi="600" orientation="landscape" paperSize="9" scale="56"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MRR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Sprawozdanie z Działania_załączniki</dc:title>
  <dc:subject/>
  <dc:creator>Dorota Domańska</dc:creator>
  <cp:keywords/>
  <dc:description/>
  <cp:lastModifiedBy>Joanna Piątek</cp:lastModifiedBy>
  <cp:lastPrinted>2014-01-13T09:05:38Z</cp:lastPrinted>
  <dcterms:created xsi:type="dcterms:W3CDTF">2007-08-17T08:55:34Z</dcterms:created>
  <dcterms:modified xsi:type="dcterms:W3CDTF">2014-01-21T06:50:31Z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1045</vt:i4>
  </property>
</Properties>
</file>