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2"/>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sheetId="9" r:id="rId9"/>
  </sheets>
  <definedNames>
    <definedName name="_xlnm.Print_Area" localSheetId="1">'ZAŁ 2'!$A$1:$M$34</definedName>
    <definedName name="_xlnm.Print_Area" localSheetId="3">'ZAŁ 4'!$A$1:$H$37</definedName>
    <definedName name="_xlnm.Print_Area" localSheetId="4">'ZAŁ 5'!$A$1:$H$49</definedName>
    <definedName name="_xlnm.Print_Area" localSheetId="7">'ZAŁ 8'!$A$1:$F$55</definedName>
    <definedName name="_xlnm.Print_Area" localSheetId="8">'ZAŁ 9'!$A$1:$K$43</definedName>
  </definedNames>
  <calcPr fullCalcOnLoad="1"/>
</workbook>
</file>

<file path=xl/sharedStrings.xml><?xml version="1.0" encoding="utf-8"?>
<sst xmlns="http://schemas.openxmlformats.org/spreadsheetml/2006/main" count="1326" uniqueCount="426">
  <si>
    <t>w tym osoby w wieku 15-24/ 15-30 lata**</t>
  </si>
  <si>
    <r>
      <t>Kolumna 1</t>
    </r>
    <r>
      <rPr>
        <sz val="10"/>
        <rFont val="Arial"/>
        <family val="2"/>
      </rPr>
      <t xml:space="preserve"> - należy podać nr Działania, w ramach którego została udzielona pomoc publiczna.
</t>
    </r>
    <r>
      <rPr>
        <i/>
        <sz val="10"/>
        <rFont val="Arial"/>
        <family val="2"/>
      </rPr>
      <t xml:space="preserve">Kolumna 2 - </t>
    </r>
    <r>
      <rPr>
        <sz val="10"/>
        <rFont val="Arial"/>
        <family val="2"/>
      </rPr>
      <t>należy podać liczbę projektów MŚP objętych pomocą publiczną oraz pomocą de minimis, dla których dotychczas zostały zawarte umowy/wydane decyzje o dofinansowaniu</t>
    </r>
    <r>
      <rPr>
        <i/>
        <sz val="10"/>
        <rFont val="Arial"/>
        <family val="2"/>
      </rPr>
      <t xml:space="preserve">
Kolumna 3 - </t>
    </r>
    <r>
      <rPr>
        <sz val="10"/>
        <rFont val="Arial"/>
        <family val="2"/>
      </rPr>
      <t>należy podać liczbę projektów MŚP objętych pomocą publiczną oraz pomocą de minimis, dla których dotychczas zatwierdzony został co najmniej jeden wniosek o płatność.</t>
    </r>
    <r>
      <rPr>
        <i/>
        <sz val="10"/>
        <rFont val="Arial"/>
        <family val="2"/>
      </rPr>
      <t xml:space="preserve">
Kolumna 4 - </t>
    </r>
    <r>
      <rPr>
        <sz val="10"/>
        <rFont val="Arial"/>
        <family val="2"/>
      </rPr>
      <t>należy podać całkowitą wartość projektów MŚP wskazanych w kol. 2.</t>
    </r>
    <r>
      <rPr>
        <i/>
        <sz val="10"/>
        <rFont val="Arial"/>
        <family val="2"/>
      </rPr>
      <t xml:space="preserve">
Kolumna 5 -</t>
    </r>
    <r>
      <rPr>
        <sz val="10"/>
        <rFont val="Arial"/>
        <family val="2"/>
      </rPr>
      <t xml:space="preserve"> należy podać całkowitą wartość wydatków kwalifikowalnych w ramach projektów MŚP wynikających z zatwierdzonych wniosków o płatność wskazanych w kolumnie 3.</t>
    </r>
    <r>
      <rPr>
        <i/>
        <sz val="10"/>
        <rFont val="Arial"/>
        <family val="2"/>
      </rPr>
      <t xml:space="preserve">
Kolumna 6 - </t>
    </r>
    <r>
      <rPr>
        <sz val="10"/>
        <rFont val="Arial"/>
        <family val="2"/>
      </rPr>
      <t>w odniesieniu do kolumny 5 należy wyodrębnić tę część wydatków kwalifikowalnych w ramach projektów MŚP, które dotyczą pomocy publicznej oraz pomocy de minimis</t>
    </r>
    <r>
      <rPr>
        <i/>
        <sz val="10"/>
        <rFont val="Arial"/>
        <family val="2"/>
      </rPr>
      <t xml:space="preserve">
Kolumny 7, 8 i 9 - </t>
    </r>
    <r>
      <rPr>
        <sz val="10"/>
        <rFont val="Arial"/>
        <family val="2"/>
      </rPr>
      <t xml:space="preserve">należy podać całkowitą kwotę środków zakwalifikowanych jako pomoc publiczna i pomoc de minimis na podstawie zatwierdzonych wniosków o płatność w poszczególnych 
kategoriach wielkości przedsiębiorstwa (tj. mikro, małych i średnich przedsiębiorstwach zdefiniowanych zgodnie z Zasadami udzielania pomocy publicznej w ramach PO KL)
</t>
    </r>
    <r>
      <rPr>
        <i/>
        <sz val="10"/>
        <rFont val="Arial"/>
        <family val="2"/>
      </rPr>
      <t>Kolumny 5-9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Nie należy uwzględniać wkładu prywatnego.</t>
    </r>
    <r>
      <rPr>
        <i/>
        <sz val="10"/>
        <rFont val="Arial"/>
        <family val="2"/>
      </rPr>
      <t xml:space="preserve">
</t>
    </r>
    <r>
      <rPr>
        <sz val="10"/>
        <rFont val="Arial"/>
        <family val="2"/>
      </rPr>
      <t xml:space="preserve">Rejestrując w systemie KSI kwoty odzyskane lub wycofane, należy jednocześnie, w module </t>
    </r>
    <r>
      <rPr>
        <i/>
        <sz val="10"/>
        <rFont val="Arial"/>
        <family val="2"/>
      </rPr>
      <t>Wnioski o płatnoś</t>
    </r>
    <r>
      <rPr>
        <sz val="10"/>
        <rFont val="Arial"/>
        <family val="2"/>
      </rPr>
      <t xml:space="preserve">ć,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</si>
  <si>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r>
      <t xml:space="preserve">Należy uwzględnić osoby, które otrzymały jednorazowe środki na podjęcie działalności gospodarczej w ramach Poddziałania 6.1.3, Działania 6.2 i  Poddziałania 8.1.2 oraz </t>
    </r>
    <r>
      <rPr>
        <sz val="10"/>
        <rFont val="Arial"/>
        <family val="2"/>
      </rPr>
      <t>spółdzielnie socjalne utworzone w ramach Poddziałania 7.2.2 (środki na założenie spółdzielni, przystąpienie oraz zatrudnienie w spółdzielni).</t>
    </r>
  </si>
  <si>
    <r>
      <t xml:space="preserve">Kolumna 1 </t>
    </r>
    <r>
      <rPr>
        <sz val="10"/>
        <rFont val="Arial"/>
        <family val="2"/>
      </rPr>
      <t xml:space="preserve">- należy podać nr 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należy podać liczbę projektów objętych pomocą publiczną oraz pomocą de minimis, dla których dotychczas zostały zawarte umowy/ wydane decyzje o dofinanoswaniu.</t>
    </r>
    <r>
      <rPr>
        <i/>
        <sz val="10"/>
        <rFont val="Arial"/>
        <family val="2"/>
      </rPr>
      <t xml:space="preserve">
Kolumna 4 - </t>
    </r>
    <r>
      <rPr>
        <sz val="10"/>
        <rFont val="Arial"/>
        <family val="2"/>
      </rPr>
      <t>należy podać liczbę projektów objętych pomocą publiczną oraz pomocą de minimis, dla których dotychczas zatwierdzony został co najmniej jednen wniosek o płatność.</t>
    </r>
    <r>
      <rPr>
        <i/>
        <sz val="10"/>
        <rFont val="Arial"/>
        <family val="2"/>
      </rPr>
      <t xml:space="preserve">
Kolumna 5 - </t>
    </r>
    <r>
      <rPr>
        <sz val="10"/>
        <rFont val="Arial"/>
        <family val="2"/>
      </rPr>
      <t>należy podać całkowitą wartość umów wskazanych w kol. 3.</t>
    </r>
    <r>
      <rPr>
        <i/>
        <sz val="10"/>
        <rFont val="Arial"/>
        <family val="2"/>
      </rPr>
      <t xml:space="preserve">
Kolumna 6 -</t>
    </r>
    <r>
      <rPr>
        <sz val="10"/>
        <rFont val="Arial"/>
        <family val="2"/>
      </rPr>
      <t xml:space="preserve"> należy podać całkowitą wartość wydatków kwalifikowalnych wynikających z zatwierdzonych wniosków o płatność dla projektów wskazanych w kolumnie 4.</t>
    </r>
    <r>
      <rPr>
        <i/>
        <sz val="10"/>
        <rFont val="Arial"/>
        <family val="2"/>
      </rPr>
      <t xml:space="preserve">
Kolumna 7 - </t>
    </r>
    <r>
      <rPr>
        <sz val="10"/>
        <rFont val="Arial"/>
        <family val="2"/>
      </rPr>
      <t xml:space="preserve">w odniesieniu do kol. 6 należy wyodrębnić tę część wydatków kwalifikowalnych, które dotyczą pomocy publicznej oraz pomocy de minimis
</t>
    </r>
    <r>
      <rPr>
        <i/>
        <sz val="10"/>
        <rFont val="Arial"/>
        <family val="2"/>
      </rPr>
      <t>Kolumny 6-7</t>
    </r>
    <r>
      <rPr>
        <sz val="10"/>
        <rFont val="Arial"/>
        <family val="2"/>
      </rPr>
      <t xml:space="preserve"> - wartości należy odpowiednio pomniejszyć o kwoty odzyskane/kwoty wycofane w module </t>
    </r>
    <r>
      <rPr>
        <i/>
        <sz val="10"/>
        <rFont val="Arial"/>
        <family val="2"/>
      </rPr>
      <t xml:space="preserve">Rejestracja obciążeń na projekcie. Nie należy uwzględniać wkładu prywatnego.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Wnioski o płatność</t>
    </r>
    <r>
      <rPr>
        <sz val="10"/>
        <rFont val="Arial"/>
        <family val="2"/>
      </rPr>
      <t xml:space="preserve"> korygujące wartość pomocy publicznej 
udzielonej w ramach projektu.</t>
    </r>
  </si>
  <si>
    <t>* nie dot. osób, które otrzymały jednorazowe środki na podjęcie działalności gospodarczej w ramach Poddziałania 6.1.3, Działania 6.2 i Poddziałania 8.1.2. oraz spółdzielni socjalnych utworzonych w ramach projektu w Poddziałaniu 7.2.2.</t>
  </si>
  <si>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</si>
  <si>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</si>
  <si>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</si>
  <si>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</si>
  <si>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pełniace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</si>
  <si>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</si>
  <si>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</si>
  <si>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</si>
  <si>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</si>
  <si>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r>
      <t xml:space="preserve">Należy wypełnić w oparciu o dane z załącznika nr 2 </t>
    </r>
    <r>
      <rPr>
        <i/>
        <sz val="10"/>
        <rFont val="Arial"/>
        <family val="2"/>
      </rPr>
      <t>"Szczegółowa charakterystyka udzielonego wsparcia"</t>
    </r>
    <r>
      <rPr>
        <sz val="10"/>
        <rFont val="Arial"/>
        <family val="2"/>
      </rPr>
      <t xml:space="preserve"> wniosków o płatność zatwierdzonych i wprowadzonych do KSI SIMIK 07-13 wg stanu na koniec bieżącego okresu sprawozdawczego.</t>
    </r>
  </si>
  <si>
    <t>Liczba podmiotów ekonomii społecznej, które skorzystały z usług doradczych</t>
  </si>
  <si>
    <t>Liczba osób, które zakończyły udział w projektach realizowanych w ramach Działania*</t>
  </si>
  <si>
    <t xml:space="preserve">- w tym liczba osób w wieku 15-24 lata* </t>
  </si>
  <si>
    <t>- w tym liczba osób w wieku 15-24 lata zamieszkujących obszary wiejskie*</t>
  </si>
  <si>
    <t>- w tym liczba osób znajdujących się w szczególnie trudnej sytuacji na rynku pracy*</t>
  </si>
  <si>
    <t xml:space="preserve">    a) w tym liczba osób niepełnosprawnych*</t>
  </si>
  <si>
    <t xml:space="preserve">    b) w tym liczba osób długotrwale bezrobotnych*</t>
  </si>
  <si>
    <t xml:space="preserve">    c) w tym liczba osób z terenów wiejskich*</t>
  </si>
  <si>
    <t xml:space="preserve">- w tym liczba osób w wieku 50-64 lata* </t>
  </si>
  <si>
    <t xml:space="preserve">- w tym liczba osób, które zostały objęte Indywidualnym Planem Działania* </t>
  </si>
  <si>
    <t>Liczba projektów wspierających rozwój inicjatyw lokalnych*</t>
  </si>
  <si>
    <t>Liczba projektów wspierających rozwój inicjatyw na rzecz aktywizacji i integracji społeczności lokalnych*</t>
  </si>
  <si>
    <t>Liczba partnerstw (sieci współpracy) zawiązanych na szczeblu lokalnym i regionalnym*</t>
  </si>
  <si>
    <t>c) środki na rozpoczęcie działalności gospodarczej</t>
  </si>
  <si>
    <t>a) jednorazowy dodatek relokacyjny/ mobilnościowy**</t>
  </si>
  <si>
    <t>b) jednorazowy dodatek motywacyjny**</t>
  </si>
  <si>
    <t>** Wskaźnik monitorowany w odniesieniu do projektów, dla których wniosek o dofinansowanie został złożony do dnia 31 grudnia 2010 r.</t>
  </si>
  <si>
    <t>Liczba osób, które były objęte wsparciem w zakresie rozpoczynania własnej działalności gospodarczej typu spin off lub spin out*</t>
  </si>
  <si>
    <r>
      <t xml:space="preserve">W wierszach </t>
    </r>
    <r>
      <rPr>
        <i/>
        <sz val="10"/>
        <rFont val="Arial"/>
        <family val="2"/>
      </rPr>
      <t xml:space="preserve">„Osoby w wieku 55-64 lata” </t>
    </r>
    <r>
      <rPr>
        <sz val="10"/>
        <rFont val="Arial"/>
        <family val="2"/>
      </rPr>
      <t xml:space="preserve">oraz </t>
    </r>
    <r>
      <rPr>
        <i/>
        <sz val="10"/>
        <rFont val="Arial"/>
        <family val="2"/>
      </rPr>
      <t>„Pracownicy w wieku 55-64 lata”</t>
    </r>
    <r>
      <rPr>
        <sz val="10"/>
        <rFont val="Arial"/>
        <family val="2"/>
      </rPr>
      <t xml:space="preserve"> wykazywani są uczestnicy projektów realizowanych w ramach Działania, którzy w dniu rozpoczęcia udziału w projekcie mieli skończone 55 lat (od dnia 55 urodzin) i jednocześnie nie ukończyli 65 lat (do dnia poprzedzającego dzień 65 urodzin). W ramach </t>
    </r>
    <r>
      <rPr>
        <i/>
        <sz val="10"/>
        <rFont val="Arial"/>
        <family val="2"/>
      </rPr>
      <t>„Pracowników w wieku 55-64 lata"</t>
    </r>
    <r>
      <rPr>
        <sz val="10"/>
        <rFont val="Arial"/>
        <family val="2"/>
      </rPr>
      <t xml:space="preserve"> należy uwzględniać osoby zatrudnione i samozatrudnione zgodnie z definicjami wskazanymi w Instrukcji do wniosku o dofinansowanie projektu PO KL.</t>
    </r>
  </si>
  <si>
    <t>osoby w wieku 55-64 lata</t>
  </si>
  <si>
    <t>w tym pracownicy w wieku 55-64 lata</t>
  </si>
  <si>
    <r>
      <t>liczba osób, które znalazły lub kontynuują zatrudnienie</t>
    </r>
    <r>
      <rPr>
        <sz val="9"/>
        <rFont val="Arial"/>
        <family val="2"/>
      </rPr>
      <t xml:space="preserve"> - liczba osób, które podjęły zatrudnienie lub ropoczęły prowadzenie działalności gospodarczej po zakończeniu udziału w projektach realizowanych w ramach Działania - dot. uczestników, którzy zakończyli udział w Działaniu od roku, w którym w Planach działania wprowadzono kryteria dot. pomiaru efektywności zatrudnieniowej
</t>
    </r>
    <r>
      <rPr>
        <b/>
        <sz val="9"/>
        <rFont val="Arial"/>
        <family val="2"/>
      </rPr>
      <t>W kol. 6-8 należy wykazać uczestników, którzy podjęli zatrudnienie, spośród osób wykazanych w kol. 3-5.</t>
    </r>
  </si>
  <si>
    <t xml:space="preserve">Liczba uczniów szkół zawodowych, którzy otrzymali wsparcie w postaci staży i praktyk zagranicznych </t>
  </si>
  <si>
    <t xml:space="preserve">d) w tym w zakresie kwalifikacyjnych kursów zawodowych </t>
  </si>
  <si>
    <t>- w tym liczba osób w wieku 15-24 lata</t>
  </si>
  <si>
    <t>Liczba osób, które skorzystały z usług doradczych (projekty inżynierii finansowej)</t>
  </si>
  <si>
    <t>Liczba osób, które uczestniczyły w szkoleniach (projekty inżynierii finansowej)</t>
  </si>
  <si>
    <t>W tabeli należy wykazać przedsiebiorstwa objęte wsparciem w ramach Priorytetu I, II, VI, VII, VIII i IX</t>
  </si>
  <si>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rPr>
      <t>Samozatrudnieni</t>
    </r>
    <r>
      <rPr>
        <sz val="9"/>
        <rFont val="Arial"/>
        <family val="2"/>
      </rPr>
      <t xml:space="preserve"> – osoby fizyczne prowadzące działalność gospodarczą, nie zatrudniające pracowników.</t>
    </r>
  </si>
  <si>
    <r>
      <t xml:space="preserve">Należy wypełnić w oparciu o dane z załącznika nr 2 </t>
    </r>
    <r>
      <rPr>
        <i/>
        <sz val="10"/>
        <rFont val="Arial"/>
        <family val="2"/>
      </rPr>
      <t>"Szczegółowa charakterystyka udzielonego wsparcia"</t>
    </r>
    <r>
      <rPr>
        <sz val="10"/>
        <rFont val="Arial"/>
        <family val="2"/>
      </rPr>
      <t xml:space="preserv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uwzględnić dane kumulatywne od początku okresu ich realizacji.</t>
    </r>
  </si>
  <si>
    <t>* Wskaźnik monitorowany w odniesieniu do projektów, dla których wniosek o dofinansowanie został złożony do dnia 31 grudnia 2011 r.</t>
  </si>
  <si>
    <t>Liczba konsultantów świadczących usługi na rzecz rozwoju przedsiębiorczości w akredytowanych instytucjach, którzy zostali objęci usługami doradczymi, szkoleniowymi lub innymi formami podwyższania kwalifikacji*</t>
  </si>
  <si>
    <t>Liczba projektów analitycznych i badawczych zrealizowanych w ramach Planu Działań*</t>
  </si>
  <si>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</si>
  <si>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</si>
  <si>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t>Załącznik nr 1. Osiągnięte wartości wskaźników</t>
  </si>
  <si>
    <r>
      <t xml:space="preserve">UWAGA:
</t>
    </r>
    <r>
      <rPr>
        <sz val="10"/>
        <rFont val="Arial"/>
        <family val="2"/>
      </rPr>
      <t xml:space="preserve">Wartości wskaźników prezentujących liczbę osób, które zakończyły udział w projektach, powinny być powiązane z wartościami wynikającymi z tabeli w załączniku nr 2 </t>
    </r>
    <r>
      <rPr>
        <i/>
        <sz val="10"/>
        <rFont val="Arial"/>
        <family val="2"/>
      </rPr>
      <t>„Przepływ uczestników projektów realizowanych w ramach Działania”</t>
    </r>
    <r>
      <rPr>
        <sz val="10"/>
        <rFont val="Arial"/>
        <family val="2"/>
      </rPr>
      <t>.</t>
    </r>
  </si>
  <si>
    <t>Załącznik nr 2. Przepływ uczestników projektów realizowanych w ramach Działania</t>
  </si>
  <si>
    <t>Liczba osób, które zakończyły udział w Działaniu</t>
  </si>
  <si>
    <t>Załącznik nr 3. Określenie statusu na rynku pracy osób, które rozpoczęły udział w projektach realizowanych w ramach Działania</t>
  </si>
  <si>
    <r>
      <t xml:space="preserve">Pomiar wskaźników jest dokonywany zgodnie z załącznikiem nr 7 </t>
    </r>
    <r>
      <rPr>
        <i/>
        <sz val="9"/>
        <rFont val="Arial"/>
        <family val="2"/>
      </rPr>
      <t xml:space="preserve">Sposób pomiaru wskaźnika efektywności zatrudnieniowej w projekcie </t>
    </r>
    <r>
      <rPr>
        <sz val="9"/>
        <rFont val="Arial"/>
        <family val="2"/>
      </rPr>
      <t>do</t>
    </r>
    <r>
      <rPr>
        <i/>
        <sz val="9"/>
        <rFont val="Arial"/>
        <family val="2"/>
      </rPr>
      <t xml:space="preserve"> Podręcznika wskaźników PO KL 2007-2013.</t>
    </r>
  </si>
  <si>
    <t>Załącznik nr 4. Osoby, które rozpoczęły udział w projektach realizowanych w ramach Działania, znajdujący się w dwóch grupach wiekowych 15-24 i 55-64 lata</t>
  </si>
  <si>
    <t>5=3+4</t>
  </si>
  <si>
    <t>8=6+7</t>
  </si>
  <si>
    <t>9=(6/3)*100</t>
  </si>
  <si>
    <r>
      <t>Wskaźnik efektywności zatrudnieniowej należy liczyć</t>
    </r>
    <r>
      <rPr>
        <b/>
        <sz val="9"/>
        <rFont val="Arial"/>
        <family val="2"/>
      </rPr>
      <t xml:space="preserve"> narastająco od początku realizacjji Działania</t>
    </r>
    <r>
      <rPr>
        <sz val="9"/>
        <rFont val="Arial"/>
        <family val="2"/>
      </rPr>
      <t>.</t>
    </r>
  </si>
  <si>
    <t>Inne wskaźniki efektywności zatrudnieniowej określone we wniosku o dofinansowanie w ramach Priorytetu/ Działania (należy podać nr Priorytetu/ Działania j.w.)</t>
  </si>
  <si>
    <r>
      <t xml:space="preserve">Tabela stanowi uszczegółowienie informacji przekazanych w ramach załącznika nr 2 </t>
    </r>
    <r>
      <rPr>
        <i/>
        <sz val="10"/>
        <rFont val="Arial"/>
        <family val="2"/>
      </rPr>
      <t>Przepływ uczestników projektów realizowanych w ramach Działania</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</si>
  <si>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t>Załącznik nr 5. Osoby, które rozpoczęły udział w projektach realizowanych w ramach Działania ze względu na wykształcenie</t>
  </si>
  <si>
    <r>
      <t xml:space="preserve">Tabela stanowi uszczegółowienie informacji przekazanych w ramach załącznika nr 2 </t>
    </r>
    <r>
      <rPr>
        <i/>
        <sz val="10"/>
        <rFont val="Arial"/>
        <family val="2"/>
      </rPr>
      <t>Przepływ uczestników projektów realizowanych w ramach Działania</t>
    </r>
    <r>
      <rPr>
        <sz val="10"/>
        <rFont val="Arial"/>
        <family val="2"/>
      </rPr>
      <t>. Wykształcenie uczestników projektów określane jest w chwili rozpoczęcia ich udziału w projektach, biorąc pod uwagę ostatni zakończony formalnie etap edukacji danej osoby.</t>
    </r>
  </si>
  <si>
    <t>Załącznik nr 6. Przedsiębiorstwa, które przystąpiły do udziału w projektach realizowanych w ramach Działania</t>
  </si>
  <si>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Działania/Działań PO KL, za które sporządzane jest sprawozdanie.</t>
  </si>
  <si>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</si>
  <si>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</si>
  <si>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</si>
  <si>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</si>
  <si>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</si>
  <si>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1.</t>
    </r>
    <r>
      <rPr>
        <sz val="10"/>
        <rFont val="Arial"/>
        <family val="2"/>
      </rPr>
      <t xml:space="preserve"> </t>
    </r>
    <r>
      <rPr>
        <b/>
        <sz val="10"/>
        <rFont val="Arial"/>
        <family val="2"/>
      </rPr>
      <t xml:space="preserve">liczba wniosków przyjętych do oceny formalnej </t>
    </r>
    <r>
      <rPr>
        <sz val="7"/>
        <rFont val="Arial"/>
        <family val="2"/>
      </rPr>
      <t>(1)</t>
    </r>
    <r>
      <rPr>
        <b/>
        <sz val="10"/>
        <rFont val="Arial"/>
        <family val="2"/>
      </rPr>
      <t xml:space="preserve"> </t>
    </r>
    <r>
      <rPr>
        <sz val="10"/>
        <rFont val="Arial"/>
        <family val="2"/>
      </rPr>
      <t>:</t>
    </r>
  </si>
  <si>
    <r>
      <t>2.</t>
    </r>
    <r>
      <rPr>
        <sz val="10"/>
        <rFont val="Arial"/>
        <family val="2"/>
      </rPr>
      <t xml:space="preserve"> </t>
    </r>
    <r>
      <rPr>
        <b/>
        <sz val="10"/>
        <rFont val="Arial"/>
        <family val="2"/>
      </rPr>
      <t xml:space="preserve">liczba wniosków ocenionych negatywnie po ocenie formalnej </t>
    </r>
    <r>
      <rPr>
        <sz val="7"/>
        <rFont val="Arial"/>
        <family val="2"/>
      </rPr>
      <t xml:space="preserve">(2) (3) </t>
    </r>
    <r>
      <rPr>
        <b/>
        <sz val="10"/>
        <rFont val="Arial"/>
        <family val="2"/>
      </rPr>
      <t xml:space="preserve">: </t>
    </r>
  </si>
  <si>
    <r>
      <t xml:space="preserve">3. liczba protestów od negatywnej oceny formalnej projektów, </t>
    </r>
    <r>
      <rPr>
        <sz val="10"/>
        <rFont val="Arial"/>
        <family val="2"/>
      </rPr>
      <t xml:space="preserve">które wpłynęły do IOK </t>
    </r>
    <r>
      <rPr>
        <b/>
        <sz val="10"/>
        <rFont val="Arial"/>
        <family val="2"/>
      </rPr>
      <t>w tym:</t>
    </r>
  </si>
  <si>
    <r>
      <t>3</t>
    </r>
    <r>
      <rPr>
        <sz val="10"/>
        <rFont val="Arial"/>
        <family val="2"/>
      </rPr>
      <t xml:space="preserve">. </t>
    </r>
    <r>
      <rPr>
        <b/>
        <sz val="10"/>
        <rFont val="Arial"/>
        <family val="2"/>
      </rPr>
      <t>liczba odwołań od negatywnej oceny formalnej projektów,</t>
    </r>
    <r>
      <rPr>
        <sz val="10"/>
        <rFont val="Arial"/>
        <family val="2"/>
      </rPr>
      <t xml:space="preserve"> które wpłynęły do IP </t>
    </r>
    <r>
      <rPr>
        <b/>
        <sz val="10"/>
        <rFont val="Arial"/>
        <family val="2"/>
      </rPr>
      <t>w tym:</t>
    </r>
  </si>
  <si>
    <r>
      <t>3.1 rozpatrzonych</t>
    </r>
    <r>
      <rPr>
        <sz val="10"/>
        <rFont val="Arial"/>
        <family val="2"/>
      </rPr>
      <t xml:space="preserve"> (ogółem) </t>
    </r>
    <r>
      <rPr>
        <sz val="7"/>
        <rFont val="Arial"/>
        <family val="2"/>
      </rPr>
      <t>(3)</t>
    </r>
    <r>
      <rPr>
        <sz val="10"/>
        <rFont val="Arial"/>
        <family val="2"/>
      </rPr>
      <t xml:space="preserve"> : </t>
    </r>
  </si>
  <si>
    <r>
      <t xml:space="preserve">3.1 rozpatrzonych (ogółem) </t>
    </r>
    <r>
      <rPr>
        <b/>
        <sz val="7"/>
        <rFont val="Arial"/>
        <family val="2"/>
      </rPr>
      <t>(3)</t>
    </r>
    <r>
      <rPr>
        <b/>
        <sz val="10"/>
        <rFont val="Arial"/>
        <family val="2"/>
      </rPr>
      <t xml:space="preserve">: </t>
    </r>
  </si>
  <si>
    <t xml:space="preserve">3.1.1 pozytywnie: </t>
  </si>
  <si>
    <t xml:space="preserve">3.1.2 negatywnie: </t>
  </si>
  <si>
    <r>
      <t xml:space="preserve">3.2 pozostawionych bez rozpatrzenia </t>
    </r>
    <r>
      <rPr>
        <b/>
        <sz val="7"/>
        <rFont val="Arial"/>
        <family val="2"/>
      </rPr>
      <t>(3)</t>
    </r>
    <r>
      <rPr>
        <b/>
        <sz val="10"/>
        <rFont val="Arial"/>
        <family val="2"/>
      </rPr>
      <t xml:space="preserve">: </t>
    </r>
  </si>
  <si>
    <t xml:space="preserve">3.3 wycofanych: </t>
  </si>
  <si>
    <t xml:space="preserve">3.4 w trakcie rozpatrywania: </t>
  </si>
  <si>
    <r>
      <t>4. liczba wniosków, z pkt 3.1.1, które po pozytywnym rozpatrzeniu protestu od oceny formalnej uzyskały dofinansowanie (podpisano umowy o dofinansowanie ralizacji  projektu)</t>
    </r>
    <r>
      <rPr>
        <sz val="10"/>
        <rFont val="Arial"/>
        <family val="2"/>
      </rPr>
      <t xml:space="preserve"> </t>
    </r>
    <r>
      <rPr>
        <sz val="7"/>
        <rFont val="Arial"/>
        <family val="2"/>
      </rPr>
      <t>(4)</t>
    </r>
    <r>
      <rPr>
        <b/>
        <sz val="10"/>
        <rFont val="Arial"/>
        <family val="2"/>
      </rPr>
      <t xml:space="preserve"> : </t>
    </r>
  </si>
  <si>
    <r>
      <t xml:space="preserve">4. liczba wniosków, z pkt 3.1.1, które po pozytywnym rozpatrzeniu odwołania od oceny formalnej uzyskały dofinansowanie (podpisano umowy o dofinansowanie ralizacji  projektu) </t>
    </r>
    <r>
      <rPr>
        <b/>
        <sz val="7"/>
        <rFont val="Arial"/>
        <family val="2"/>
      </rPr>
      <t xml:space="preserve">(4) </t>
    </r>
    <r>
      <rPr>
        <b/>
        <sz val="10"/>
        <rFont val="Arial"/>
        <family val="2"/>
      </rPr>
      <t xml:space="preserve">: </t>
    </r>
  </si>
  <si>
    <t xml:space="preserve">OCENA MERYTORYCZNA </t>
  </si>
  <si>
    <r>
      <t xml:space="preserve">5. liczba wniosków przyjętych do oceny merytorycznej </t>
    </r>
    <r>
      <rPr>
        <b/>
        <sz val="7"/>
        <rFont val="Arial"/>
        <family val="2"/>
      </rPr>
      <t>(5) (6) :</t>
    </r>
    <r>
      <rPr>
        <b/>
        <sz val="10"/>
        <rFont val="Arial"/>
        <family val="2"/>
      </rPr>
      <t xml:space="preserve"> </t>
    </r>
    <r>
      <rPr>
        <sz val="10"/>
        <rFont val="Arial"/>
        <family val="2"/>
      </rPr>
      <t xml:space="preserve"> </t>
    </r>
  </si>
  <si>
    <t xml:space="preserve">             OCENA  PONIŻEJ  MINIMUM  PUNKTOWEGO   </t>
  </si>
  <si>
    <r>
      <t>6. liczba wniosków ocenionych  negatywnie po ocenie merytorycznej</t>
    </r>
    <r>
      <rPr>
        <sz val="10"/>
        <rFont val="Arial"/>
        <family val="2"/>
      </rPr>
      <t xml:space="preserve"> (wniosek uzyskał poniżej 60 pkt lub/i poniżej 60%, w którymkolwiek kryterium oceny lub/i został odrzucony ze względu na niespełnienie kryteriów w części A KOM):</t>
    </r>
  </si>
  <si>
    <r>
      <t>7. liczba protestów od negatywnej oceny merytorycznej projektów</t>
    </r>
    <r>
      <rPr>
        <sz val="10"/>
        <rFont val="Arial"/>
        <family val="2"/>
      </rPr>
      <t xml:space="preserve">, które wpłynęły do IOK, 
</t>
    </r>
    <r>
      <rPr>
        <b/>
        <sz val="10"/>
        <rFont val="Arial"/>
        <family val="2"/>
      </rPr>
      <t>w tym:</t>
    </r>
  </si>
  <si>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b/>
        <sz val="10"/>
        <rFont val="Arial"/>
        <family val="2"/>
      </rPr>
      <t>w tym:</t>
    </r>
  </si>
  <si>
    <r>
      <t>7.1 rozpatrzonych</t>
    </r>
    <r>
      <rPr>
        <sz val="10"/>
        <rFont val="Arial"/>
        <family val="2"/>
      </rPr>
      <t xml:space="preserve"> (ogółem) </t>
    </r>
    <r>
      <rPr>
        <sz val="7"/>
        <rFont val="Arial"/>
        <family val="2"/>
      </rPr>
      <t xml:space="preserve">(3) </t>
    </r>
    <r>
      <rPr>
        <b/>
        <sz val="10"/>
        <rFont val="Arial"/>
        <family val="2"/>
      </rPr>
      <t xml:space="preserve">: </t>
    </r>
  </si>
  <si>
    <r>
      <t xml:space="preserve">7.1 rozpatrzonych </t>
    </r>
    <r>
      <rPr>
        <sz val="10"/>
        <rFont val="Arial"/>
        <family val="2"/>
      </rPr>
      <t xml:space="preserve">(ogółem) </t>
    </r>
    <r>
      <rPr>
        <sz val="7"/>
        <rFont val="Arial"/>
        <family val="2"/>
      </rPr>
      <t>(3)</t>
    </r>
    <r>
      <rPr>
        <sz val="10"/>
        <rFont val="Arial"/>
        <family val="2"/>
      </rPr>
      <t xml:space="preserve"> </t>
    </r>
    <r>
      <rPr>
        <b/>
        <sz val="10"/>
        <rFont val="Arial"/>
        <family val="2"/>
      </rPr>
      <t xml:space="preserve">: </t>
    </r>
  </si>
  <si>
    <t xml:space="preserve">7.1.1 pozytywnie: </t>
  </si>
  <si>
    <t xml:space="preserve">7.1.2 negatywnie: </t>
  </si>
  <si>
    <r>
      <t xml:space="preserve">7.2 pozostawionych bez rozpatrzenia </t>
    </r>
    <r>
      <rPr>
        <b/>
        <sz val="7"/>
        <rFont val="Arial"/>
        <family val="2"/>
      </rPr>
      <t xml:space="preserve">(3) </t>
    </r>
    <r>
      <rPr>
        <b/>
        <sz val="10"/>
        <rFont val="Arial"/>
        <family val="2"/>
      </rPr>
      <t xml:space="preserve">:  </t>
    </r>
  </si>
  <si>
    <r>
      <t xml:space="preserve">7.2 pozostawionych bez rozpatrzenia </t>
    </r>
    <r>
      <rPr>
        <b/>
        <sz val="7"/>
        <rFont val="Arial"/>
        <family val="2"/>
      </rPr>
      <t xml:space="preserve">(3) </t>
    </r>
    <r>
      <rPr>
        <b/>
        <sz val="10"/>
        <rFont val="Arial"/>
        <family val="2"/>
      </rPr>
      <t xml:space="preserve">: </t>
    </r>
  </si>
  <si>
    <t>7.3 wycofanych:</t>
  </si>
  <si>
    <t xml:space="preserve">7.4 w trakcie rozpatrywania: </t>
  </si>
  <si>
    <r>
      <t>8.</t>
    </r>
    <r>
      <rPr>
        <sz val="10"/>
        <rFont val="Arial"/>
        <family val="2"/>
      </rPr>
      <t xml:space="preserve"> </t>
    </r>
    <r>
      <rPr>
        <b/>
        <sz val="10"/>
        <rFont val="Arial"/>
        <family val="2"/>
      </rPr>
      <t>liczba wniosków z pkt 7.1.1, które po ponownej ocenie  w wyniku pozytywnego  rozpatrzenia protestu uzyskały dofinansowanie (podpisano umowy o dofinansowanie ralizacji projektu)</t>
    </r>
    <r>
      <rPr>
        <b/>
        <sz val="7"/>
        <rFont val="Arial"/>
        <family val="2"/>
      </rPr>
      <t xml:space="preserve"> </t>
    </r>
    <r>
      <rPr>
        <sz val="7"/>
        <rFont val="Arial"/>
        <family val="2"/>
      </rPr>
      <t>(4)</t>
    </r>
    <r>
      <rPr>
        <b/>
        <sz val="10"/>
        <rFont val="Arial"/>
        <family val="2"/>
      </rPr>
      <t xml:space="preserve"> :</t>
    </r>
  </si>
  <si>
    <r>
      <t xml:space="preserve">8. liczba wniosków z pkt 7.1.1, które po ponownej ocenie  w wyniku pozytywnego rozpatrzenia odwołania uzyskały dofinansowanie (podpisano umowy o dofinansowanie ralizacji projektu) </t>
    </r>
    <r>
      <rPr>
        <sz val="7"/>
        <rFont val="Arial"/>
        <family val="2"/>
      </rPr>
      <t>(4)</t>
    </r>
    <r>
      <rPr>
        <b/>
        <sz val="10"/>
        <rFont val="Arial"/>
        <family val="2"/>
      </rPr>
      <t xml:space="preserve"> : </t>
    </r>
  </si>
  <si>
    <t xml:space="preserve">OCENA  POWYŻEJ  MINIMUM  PUNKTOWEGO   </t>
  </si>
  <si>
    <r>
      <t>9. liczba wniosków, które po ocenie merytorycznej uzyskały powyżej 60 pkt i 60 % 
w każdym kryterium oceny lecz nie zostały remomendowane do dofinansowania z powodu wyczerpania alokacji w konkursie (lista rezerwowa)</t>
    </r>
    <r>
      <rPr>
        <sz val="10"/>
        <rFont val="Arial"/>
        <family val="2"/>
      </rPr>
      <t xml:space="preserve"> </t>
    </r>
    <r>
      <rPr>
        <sz val="7"/>
        <rFont val="Arial"/>
        <family val="2"/>
      </rPr>
      <t xml:space="preserve">(4) </t>
    </r>
    <r>
      <rPr>
        <sz val="10"/>
        <rFont val="Arial"/>
        <family val="2"/>
      </rPr>
      <t xml:space="preserve">:  </t>
    </r>
  </si>
  <si>
    <r>
      <t>10. liczba protestów od oceny ww. projektów</t>
    </r>
    <r>
      <rPr>
        <sz val="10"/>
        <rFont val="Arial"/>
        <family val="2"/>
      </rPr>
      <t xml:space="preserve">, które wpłynęły do IOK, </t>
    </r>
    <r>
      <rPr>
        <b/>
        <sz val="10"/>
        <rFont val="Arial"/>
        <family val="2"/>
      </rPr>
      <t xml:space="preserve">w tym: </t>
    </r>
  </si>
  <si>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</si>
  <si>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b/>
        <sz val="7"/>
        <rFont val="Arial"/>
        <family val="2"/>
      </rPr>
      <t>(3)</t>
    </r>
    <r>
      <rPr>
        <b/>
        <sz val="10"/>
        <rFont val="Arial"/>
        <family val="2"/>
      </rPr>
      <t xml:space="preserve"> : </t>
    </r>
  </si>
  <si>
    <r>
      <t xml:space="preserve">10.1 rozpatrzonych (ogółem) </t>
    </r>
    <r>
      <rPr>
        <sz val="7"/>
        <rFont val="Arial"/>
        <family val="2"/>
      </rPr>
      <t xml:space="preserve">(3) </t>
    </r>
    <r>
      <rPr>
        <sz val="10"/>
        <rFont val="Arial"/>
        <family val="2"/>
      </rPr>
      <t xml:space="preserve">: </t>
    </r>
  </si>
  <si>
    <t>10.1.1 pozytywnie:</t>
  </si>
  <si>
    <t xml:space="preserve">10.1.2 negatywnie </t>
  </si>
  <si>
    <t xml:space="preserve">10.1.1 pozytywnie: </t>
  </si>
  <si>
    <t xml:space="preserve">10.1.2 negatywnie: </t>
  </si>
  <si>
    <r>
      <t xml:space="preserve">10.2 pozostawionych bez rozpatrzenia </t>
    </r>
    <r>
      <rPr>
        <b/>
        <sz val="7"/>
        <rFont val="Arial"/>
        <family val="2"/>
      </rPr>
      <t>(3)</t>
    </r>
    <r>
      <rPr>
        <b/>
        <sz val="10"/>
        <rFont val="Arial"/>
        <family val="2"/>
      </rPr>
      <t xml:space="preserve"> : </t>
    </r>
  </si>
  <si>
    <r>
      <t xml:space="preserve">10.2 pozostawionych bez rozpatrzenia </t>
    </r>
    <r>
      <rPr>
        <b/>
        <sz val="7"/>
        <rFont val="Arial"/>
        <family val="2"/>
      </rPr>
      <t>(3)</t>
    </r>
    <r>
      <rPr>
        <b/>
        <sz val="10"/>
        <rFont val="Arial"/>
        <family val="2"/>
      </rPr>
      <t>:</t>
    </r>
  </si>
  <si>
    <t xml:space="preserve">10.3 wycofanych: </t>
  </si>
  <si>
    <t xml:space="preserve">10.4 w trakcie rozpatrywania: </t>
  </si>
  <si>
    <r>
      <t xml:space="preserve">11. liczba wniosków, z pkt 10.1.1, które po ponownej ocenie w wyniku pozytywnego  rozpatrzenia protestu uzyskały dofinansowanie (podpisano umowy o dofinansowanie ralizacji  projektu) </t>
    </r>
    <r>
      <rPr>
        <b/>
        <sz val="7"/>
        <rFont val="Arial"/>
        <family val="2"/>
      </rPr>
      <t>(4</t>
    </r>
    <r>
      <rPr>
        <sz val="7"/>
        <rFont val="Arial"/>
        <family val="2"/>
      </rPr>
      <t xml:space="preserve">) </t>
    </r>
    <r>
      <rPr>
        <b/>
        <sz val="10"/>
        <rFont val="Arial"/>
        <family val="2"/>
      </rPr>
      <t xml:space="preserve">: </t>
    </r>
  </si>
  <si>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b/>
        <sz val="10"/>
        <rFont val="Arial"/>
        <family val="2"/>
      </rPr>
      <t xml:space="preserve">: </t>
    </r>
  </si>
  <si>
    <t xml:space="preserve">INNE DANE </t>
  </si>
  <si>
    <t xml:space="preserve">ODWOŁANIA I 
PROTESTY </t>
  </si>
  <si>
    <r>
      <t xml:space="preserve">12. liczba wniosków, do których złożono  protesty zarówno na etapie oceny formalnej, jak i merytorycznej </t>
    </r>
    <r>
      <rPr>
        <b/>
        <sz val="7"/>
        <rFont val="Arial"/>
        <family val="2"/>
      </rPr>
      <t xml:space="preserve">(7) </t>
    </r>
    <r>
      <rPr>
        <b/>
        <sz val="10"/>
        <rFont val="Arial"/>
        <family val="2"/>
      </rPr>
      <t xml:space="preserve">: </t>
    </r>
  </si>
  <si>
    <r>
      <t xml:space="preserve">12. liczba wniosków, do których złożono odwołanie zarówno na etapie oceny formalnej, jak i merytorycznej </t>
    </r>
    <r>
      <rPr>
        <b/>
        <sz val="7"/>
        <rFont val="Arial"/>
        <family val="2"/>
      </rPr>
      <t>(7)</t>
    </r>
    <r>
      <rPr>
        <b/>
        <sz val="10"/>
        <rFont val="Arial"/>
        <family val="2"/>
      </rPr>
      <t xml:space="preserve"> : </t>
    </r>
  </si>
  <si>
    <t>SKARGI</t>
  </si>
  <si>
    <t xml:space="preserve">Dane w tabeli należy przedstawić narastająco od początku realizacji Działania. </t>
  </si>
  <si>
    <t>Liczba pracowników o niskich kwalifikacjach, którzy zakończyli udział w projektach</t>
  </si>
  <si>
    <t>Działanie 4.3</t>
  </si>
  <si>
    <t>Liczba pracowników administracji publicznej, którzy ukończyli udział w projektach w zakresie poprawy jakości usług oraz polityk związanych z rejestracją działalności gospodarczej i funkcjonowaniem przedsiębiorstw w ramach projektu</t>
  </si>
  <si>
    <t>Odsetek dysponentów I stopnia środków budżetowych państwa, którzy byli objęci wsparciem w zakresie przygotowania i wdrożenia wieloletniego planowania budżetowego w ujęciu zadaniowym</t>
  </si>
  <si>
    <t>Wskaźnik efektywności zatrudnieniowej*</t>
  </si>
  <si>
    <t>*dot. działań obejmujących outplacement</t>
  </si>
  <si>
    <t>** dane w wierszu 3 dot. osób w wieku 15-24 lata dot. projektów, dla których wniosek o dofinansowanie został złożony do końca 2012 r., natomiast dane dot. osób w wieku 15-30 lata dot. projektów, dla których wniosek o dofinansowanie został złożony od początku 2013 r.</t>
  </si>
  <si>
    <t>Odsetek dysponentów II stopnia środków budżetowych państwa, którzy byli objęci wsparciem w zakresie przygotowania i wdrożenia wieloletniego planowania budżetowego w ujęciu zadaniowym</t>
  </si>
  <si>
    <t>Odsetek dysponentów III stopnia środków budżetowych państwa, którzy byli objęci wsparciem w zakresie przygotowania i wdrożenia wieloletniego planowania budżetowego w ujęciu zadaniowym</t>
  </si>
  <si>
    <t>Liczba pracowników administracji samorządowej, którzy ukończyli udział w projektach w zakresie poprawy zdolności regulacyjnych w ramach projektu</t>
  </si>
  <si>
    <t xml:space="preserve">Liczba instytucji administracji publicznej, które były objęte wsparciem w zakresie poprawy standardów zarządzania w podziale na: </t>
  </si>
  <si>
    <t>Odsetek dysponentów środków budżetów JST, którzy byli objęci wsparciem w zakresie przygotowania i wdrożenia wieloletniego planowania budżetowego w ujęciu zadaniowym</t>
  </si>
  <si>
    <t>Liczba centrów wsparcia organizacji pozarządowych nowoutworzonych lub wspartych w ramach projektu</t>
  </si>
  <si>
    <t xml:space="preserve">Liczba kwalifikacji odniesionych do poziomów w Polskich Ramach Kwalifikacji </t>
  </si>
  <si>
    <t>Działanie 3.5</t>
  </si>
  <si>
    <t>Liczba szkół i przedszkoli objętych pilotażem w zakresie zmodernizowanego systemu doskonalenia nauczycieli jako elementu wsparcia, w podziale na:</t>
  </si>
  <si>
    <t>a) szkoły</t>
  </si>
  <si>
    <t xml:space="preserve">b) przedszkola </t>
  </si>
  <si>
    <t xml:space="preserve">Liczba szkół podstawowych, które zrealizowały projekty dotyczące indywidualizacji nauczania </t>
  </si>
  <si>
    <t>Działanie 9.6</t>
  </si>
  <si>
    <t>Liczba osób, które skorzystały z instrumentów zwrotnych</t>
  </si>
  <si>
    <t>Osiągnięta wartość wskaźnika efektywności zatrudnieniowej w ramach Działania (%)</t>
  </si>
  <si>
    <t>Liczba osób dorosłych w wieku 25-64 lat, które uczestniczyły w kształceniu ustawicznym w ramach Działania</t>
  </si>
  <si>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</si>
  <si>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r>
      <t xml:space="preserve">Docelowa wartość wskaźnika – </t>
    </r>
    <r>
      <rPr>
        <sz val="9"/>
        <rFont val="Arial"/>
        <family val="2"/>
      </rPr>
      <t xml:space="preserve">wartość określona na 2013 rok. Dla wybranych wskaźników monitorowanych w niniejszym sprawozdaniu nie określono wartości docelowych, w związku z czym w kolumnie 3 wskazano </t>
    </r>
    <r>
      <rPr>
        <i/>
        <sz val="9"/>
        <rFont val="Arial"/>
        <family val="2"/>
      </rPr>
      <t xml:space="preserve">"Nie określono", 
</t>
    </r>
    <r>
      <rPr>
        <sz val="9"/>
        <rFont val="Arial"/>
        <family val="2"/>
      </rPr>
      <t xml:space="preserve">zaś w kolumnie 10 – </t>
    </r>
    <r>
      <rPr>
        <i/>
        <sz val="9"/>
        <rFont val="Arial"/>
        <family val="2"/>
      </rPr>
      <t>"Nie dotyczy".</t>
    </r>
    <r>
      <rPr>
        <b/>
        <sz val="9"/>
        <rFont val="Arial"/>
        <family val="2"/>
      </rPr>
      <t xml:space="preserve">
Stopień realizacji wskaźnika </t>
    </r>
    <r>
      <rPr>
        <sz val="9"/>
        <rFont val="Arial"/>
        <family val="2"/>
      </rPr>
      <t>– wyrażony w % jest relacją osiągniętej wartości wskaźnika w stosunku do jego wartości docelowej.</t>
    </r>
  </si>
  <si>
    <t>Liczba przedsiębiorstw, które zostały objęte wsparciem w zakresie projektów szkoleniowych</t>
  </si>
  <si>
    <t xml:space="preserve"> Liczba osób zwolnionych w przedsiębiorstwach dotkniętych procesami restrukturyzacyjnymi, którzy zostali objęci działaniami szybkiego reagowania</t>
  </si>
  <si>
    <t>Liczba przedsiębiorstw, którym udzielono wsparcia w zakresie skutecznego przewidywania i zarządzania zmianą</t>
  </si>
  <si>
    <t>- w tym osoby przebywające w zakładach poprawczych i schroniskach dla nieletnich</t>
  </si>
  <si>
    <t>Działanie 1.4</t>
  </si>
  <si>
    <t>Działanie 1.5</t>
  </si>
  <si>
    <t>Liczba podmiotów ekonomii społecznej, które skorzystały ze wsparcia finansowego w ramach Priorytetu</t>
  </si>
  <si>
    <t>Liczba osób, które powróciły na rynek pracy po przerwie związanej z urodzeniem/wychowaniem dziecka w wyniku udzielonego wsparcia w ramach Priorytetu</t>
  </si>
  <si>
    <t>Załącznik nr 9. Informacja o wykonaniu wskaźnika efektywności zatrudnieniowej w ramach Działania</t>
  </si>
  <si>
    <t xml:space="preserve">Liczba pracowników instytucji pomocy i integracji społecznej bezpośrednio zajmujących się aktywną integracją, którzy w wyniku wsparcia z EFS podnieśli swoje kwalifikacje </t>
  </si>
  <si>
    <t>Liczba instytucji wspierających ekonomię społeczną, które otrzymały wsparcie w ramach Działania, funkcjonujących co najmniej 2 lata po zakończeniu udziału w projekcie</t>
  </si>
  <si>
    <t>Liczba podmiotów ekonomii społecznej, które otrzymały wsparcie z EFS za pośrednictwem instytucji wspierających ekonomię społeczną</t>
  </si>
  <si>
    <t>Liczba podmiotów ekonomii społecznej utworzonych dzięki wsparciu z EFS</t>
  </si>
  <si>
    <t>Działanie 7.4</t>
  </si>
  <si>
    <t>Liczba osób niepełnosprawnych, które zakończyły udział w projektach realizowanych w ramach Działania</t>
  </si>
  <si>
    <r>
      <t xml:space="preserve">Tabela 7.1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Działania i podstawę udzielenia pomocy (na podstawie KSI SIMIK 07-13)</t>
    </r>
  </si>
  <si>
    <r>
      <t xml:space="preserve">Tabela 7.2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Działania</t>
    </r>
  </si>
  <si>
    <t>Załącznik nr 8. Protesty/ odwołania</t>
  </si>
  <si>
    <t>Liczba przedstawicieli partnerów społecznych, którzy zostali objęci wsparciem w ramach Działania</t>
  </si>
  <si>
    <t>Grupa docelowa</t>
  </si>
  <si>
    <t>Liczba osób, które znalazły lub kontynuują zatrudnienie</t>
  </si>
  <si>
    <t>10=(7/4)*100</t>
  </si>
  <si>
    <t>11=(8/5)*100</t>
  </si>
  <si>
    <t>Wskaźnik efektywności zatrudnieniowej ogółem</t>
  </si>
  <si>
    <t>w tym osoby niekwalifikujące się do żadnej z poniższych grup docelowych (pkt. 3-6)</t>
  </si>
  <si>
    <t>w tym osoby w wieku 50-64 lata</t>
  </si>
  <si>
    <t>Wskaźnik efektywności zatrudnieniowej</t>
  </si>
  <si>
    <t>Liczba osób, które otrzymały bezzwrotne dotacje</t>
  </si>
  <si>
    <t>a) w tym w zakresie form szkolnych</t>
  </si>
  <si>
    <t xml:space="preserve">b) w tym w zakresie języków obcych </t>
  </si>
  <si>
    <t>c) w tym w zakresie ICT</t>
  </si>
  <si>
    <t>Liczba osób dorosłych, które skorzystały z usług doradztwa edukacyjno-szkoleniowego</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</si>
  <si>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</si>
  <si>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</si>
  <si>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</si>
  <si>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</si>
  <si>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 xml:space="preserve">(2) - w tym wnioski cofnięte z oceny merytorycznej.   </t>
  </si>
  <si>
    <t>(3) - przy ustalaniu danych liczbowych należy brać pod uwagę datę nadania w urzędzie pisma zawierającego informacje o wyniku rozpatrzenia  - datę kancelaryjną.</t>
  </si>
  <si>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</si>
  <si>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</si>
  <si>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</si>
  <si>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</si>
  <si>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</si>
  <si>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</si>
  <si>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</si>
  <si>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</si>
  <si>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</si>
  <si>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ponadgimnazjalne</t>
  </si>
  <si>
    <t>Liczba programów profilaktycznych oraz programów wspierających powrót do pracy opracowanych w ramach Działania</t>
  </si>
  <si>
    <t>Liczba pielęgniarek i położnych, które ukończyły studia pomostowe w ramach Działania</t>
  </si>
  <si>
    <t>Liczba lekarzy deficytowych specjalizacji, którzy ukończyli w ramach Działania pełen cykl kursów w ramach realizacji programu specjalizacji</t>
  </si>
  <si>
    <t>Liczba przedstawicieli kadry zarządzającej oraz dysponentów środków publicznych w sektorze zdrowia, którzy zakończyli szkolenie z zakresu zarządzania w ramach Działania</t>
  </si>
  <si>
    <t>Liczba jednostek służby zdrowia, których przedstawiciele kadry zarządzającej ukończyli szkolenia z zakresu zarządzania w ramach Działania</t>
  </si>
  <si>
    <t>Liczba jednostek prowadzących doskonalenie nauczycieli, które otrzymały wsparcie w ramach Działania w celu uzyskania akredytacji</t>
  </si>
  <si>
    <t>mikro</t>
  </si>
  <si>
    <t>Liczba nauczycieli kształcenia zawodowego oraz instruktorów praktycznej nauki zawodu, którzy uczestniczyli w trwających co najmniej dwa tygodnie stażach i praktykach w przedsiębiorstwach w ramach Działania</t>
  </si>
  <si>
    <t>Liczba instytucji szkolnictwa wyższego, które wdrożyły modele zarządzania jakością i kontroli jakości w ramach Działania</t>
  </si>
  <si>
    <t>Liczba pracowników sektora B+R, którzy ukończyli szkolenie w zakresie zarządzania badaniami naukowymi i komercjalizacji wyników prac badawczo-rozwojowych w ramach Działania</t>
  </si>
  <si>
    <t>Liczba przedsiębiorstw, których pracownicy zakończyli udział w szkoleniach w ramach Działania</t>
  </si>
  <si>
    <t>Liczba ośrodków wychowania przedszkolnego, które uzyskały wsparcie w ramach Działania</t>
  </si>
  <si>
    <t>Liczba nauczycieli, którzy uczestniczyli w doskonaleniu zawodowym w krótkich formach</t>
  </si>
  <si>
    <t>Liczba uczniów w szkołach prowadzących kształcenie zawodowe, którzy zakończyli udział w stażach i praktykach w ramach Działania</t>
  </si>
  <si>
    <t>w tym zatrudnieni w administracji publicznej</t>
  </si>
  <si>
    <t>w tym zatrudnieni w organizacjach pozarządowych</t>
  </si>
  <si>
    <t>…</t>
  </si>
  <si>
    <t>Rodzaj przedsiębiorstwa</t>
  </si>
  <si>
    <t>Wykształcenia</t>
  </si>
  <si>
    <t>Liczba osób, które:</t>
  </si>
  <si>
    <t>rozpoczęły udział w projektach 
realizowanych w ramach Działania</t>
  </si>
  <si>
    <t>zakończyły udział w projektach realizowanych w ramach 
Działania</t>
  </si>
  <si>
    <t>kontynuują udział w projektach 
realizowanych w ramach Działania na koniec okresu objętego sprawozdaniem</t>
  </si>
  <si>
    <t>przerwały udział w projektach realizowanych w ramach 
Działania</t>
  </si>
  <si>
    <t xml:space="preserve">Liczba przedsiębiorstw </t>
  </si>
  <si>
    <t>w tym osoby z terenów wiejskich</t>
  </si>
  <si>
    <t>osoby młode (15-24 lata)</t>
  </si>
  <si>
    <t xml:space="preserve">Małe przedsiębiorstwa </t>
  </si>
  <si>
    <t>Średnie przedsiębiorstwa</t>
  </si>
  <si>
    <t>w tym zatrudnieni 
w małych przedsiębiorstwach</t>
  </si>
  <si>
    <t>w tym zatrudnieni 
w średnich przedsiębiorstwach</t>
  </si>
  <si>
    <t>Liczba pracowników nadzoru pedagogicznego, którzy zakończyli udział w projekcie w ramach Działania</t>
  </si>
  <si>
    <t>Liczba szkół i placówek kształcenia zawodowego, które wdrożyły programy rozwojowe</t>
  </si>
  <si>
    <t>Liczba dzieci w wieku 3-5 lat, które uczestniczyły w różnych formach edukacji przedszkolnej na obszarach wiejskich</t>
  </si>
  <si>
    <t>6=7+8+9</t>
  </si>
  <si>
    <t>Nie określono</t>
  </si>
  <si>
    <t>Działanie 1.1</t>
  </si>
  <si>
    <t>W przypadku projektów systemowych realizowanych w ramach Poddziałania 6.1.3 w tabeli należy uwzględniać wartości narastająco od początku realizacji projektu.</t>
  </si>
  <si>
    <t>Nr Działania</t>
  </si>
  <si>
    <t>UWAGA:
W tabeli należy ujmować przedsiębiorstwa, które otrzymały wsparcie w formie doposażenia i wyposażenia stanowisk pracy dla skierowanych bezrobotnych w ramach Poddziałania 6.1.3.</t>
  </si>
  <si>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</si>
  <si>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Program pomocowy/ inna podstawa udzielenia pomocy</t>
  </si>
  <si>
    <t>wg podpisanych umów / wydanych decyzji</t>
  </si>
  <si>
    <t>wg zrealizowanych wniosków o płatność</t>
  </si>
  <si>
    <t>kwota ogółem 
MŚP</t>
  </si>
  <si>
    <t>w tym wg wielkości przedsiębiorstwa</t>
  </si>
  <si>
    <t>małe</t>
  </si>
  <si>
    <t>średnie</t>
  </si>
  <si>
    <t>kwota</t>
  </si>
  <si>
    <t>Działanie 1.2</t>
  </si>
  <si>
    <t>Działanie 1.3</t>
  </si>
  <si>
    <t>Działanie 2.1</t>
  </si>
  <si>
    <t>Działanie 2.2</t>
  </si>
  <si>
    <t>Działanie 2.3</t>
  </si>
  <si>
    <t>Działanie 3.1</t>
  </si>
  <si>
    <t>Działanie 3.2</t>
  </si>
  <si>
    <t>Działanie 3.3</t>
  </si>
  <si>
    <t>Działanie 3.4</t>
  </si>
  <si>
    <t>Działanie 4.1</t>
  </si>
  <si>
    <t>Liczba studentów, którzy ukończyli staże lub praktyki, wspierane ze środków EFS w ramach Działania</t>
  </si>
  <si>
    <t>Liczba studentów, którzy ukończyli staże lub praktyki trwające co najmniej 3 miesiące</t>
  </si>
  <si>
    <t>Działanie 4.2</t>
  </si>
  <si>
    <t>Działanie 5.1</t>
  </si>
  <si>
    <t>-  w tym ministerstwa i urzędy centralne</t>
  </si>
  <si>
    <t>-  w tym urzędy wojewódzkie</t>
  </si>
  <si>
    <t>Działanie 5.2</t>
  </si>
  <si>
    <t>Działanie 5.4</t>
  </si>
  <si>
    <t>Liczba przedstawicieli organizacji pozarządowych, którzy ukończyli udział w projekcie w ramach Działania</t>
  </si>
  <si>
    <t>Działanie 5.5</t>
  </si>
  <si>
    <t>Liczba przedstawicieli partnerów społecznych, którzy ukończyli udział w projekcie w ramach Działania</t>
  </si>
  <si>
    <t>Działanie 6.1</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</si>
  <si>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</si>
  <si>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</si>
  <si>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</si>
  <si>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</si>
  <si>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</si>
  <si>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</si>
  <si>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</si>
  <si>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</si>
  <si>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 xml:space="preserve">    b) w tym osobom z terenów wiejskich</t>
  </si>
  <si>
    <t>Działanie 6.2</t>
  </si>
  <si>
    <t xml:space="preserve">    c) w tym osobom z terenów wiejskich</t>
  </si>
  <si>
    <t>Działanie 6.3</t>
  </si>
  <si>
    <t>Działanie 7.1</t>
  </si>
  <si>
    <t>Działanie 7.2</t>
  </si>
  <si>
    <t>Liczba osób zagrożonych wykluczeniem społecznym, które zakończyły udział w Działaniu</t>
  </si>
  <si>
    <t>Działanie 7.3</t>
  </si>
  <si>
    <t>Działanie 8.1</t>
  </si>
  <si>
    <t>Działanie 8.2</t>
  </si>
  <si>
    <t>Działanie 9.1</t>
  </si>
  <si>
    <t>Działanie 9.2</t>
  </si>
  <si>
    <t>Działanie 9.4</t>
  </si>
  <si>
    <t>Działanie 9.5</t>
  </si>
  <si>
    <t>Liczba oddolnych inicjatyw społecznych podejmowanych  w ramach Działania</t>
  </si>
  <si>
    <t>Numer Działania</t>
  </si>
  <si>
    <t>Nie dotyczy</t>
  </si>
  <si>
    <t>Liczba przedsiębiorstw i osób zamierzających rozpocząć działalność gospodarczą, które skorzystały z usług świadczonych w akredytowanych instytucjach</t>
  </si>
  <si>
    <t>Liczba osób, które ukończyły udział w stażach lub szkoleniach praktycznych w podziale na:</t>
  </si>
  <si>
    <t>- pracowników przedsiębiorstw w jednostkach naukowych</t>
  </si>
  <si>
    <t xml:space="preserve">- pracowników naukowych w przedsiębiorstwach </t>
  </si>
  <si>
    <t>w tym osoby należące do mniejszości narodowych i etnicznych</t>
  </si>
  <si>
    <t>Inne wskaźniki określone dla Działania w Planie Działania</t>
  </si>
  <si>
    <t>Kolumna 3 przedstawia liczbę przedsiębiorstw, które przystąpiły do udziału w projektach realizowanych w ramach Działania w okresie sprawozdawczym, zaś kolumna 4 przedstawia liczbę przedsiębiorstw narastająco.</t>
  </si>
  <si>
    <t>Mikroprzedsiębiorstwa 
(w tym samozatrudnieni)*</t>
  </si>
  <si>
    <t>..</t>
  </si>
  <si>
    <t>Jeśli dane dotyczące wskaźników w okresie składania sprawozdania nie są dostępne, należy pod tabelą zamieścić komentarz, w jakim terminie będą mogły zostać przedstawione.</t>
  </si>
  <si>
    <t>K – kobiety, M – mężczyźni</t>
  </si>
  <si>
    <t>Liczba urzędów administracji rządowej, które były objęte wsparciem w zakresie poprawy standarów zarządzania</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</si>
  <si>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</si>
  <si>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</si>
  <si>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</si>
  <si>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</si>
  <si>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</si>
  <si>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</si>
  <si>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</si>
  <si>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</si>
  <si>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</si>
  <si>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</si>
  <si>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</si>
  <si>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</si>
  <si>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</si>
  <si>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Działania</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</si>
  <si>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</si>
  <si>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</si>
  <si>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</si>
  <si>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</si>
  <si>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</si>
  <si>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</si>
  <si>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</si>
  <si>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</si>
  <si>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</si>
  <si>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</si>
  <si>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</si>
  <si>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</si>
  <si>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</si>
  <si>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</si>
  <si>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</si>
  <si>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</si>
  <si>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</si>
  <si>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</si>
  <si>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</si>
  <si>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</si>
  <si>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</si>
  <si>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</si>
  <si>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PRIORYTET III</t>
  </si>
  <si>
    <t>PRIORYTET IV</t>
  </si>
  <si>
    <t>Liczba programów rozwojowych wdrożonych przez uczelnie w ramach Działania</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</si>
  <si>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</si>
  <si>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</si>
  <si>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</si>
  <si>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</si>
  <si>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</si>
  <si>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Liczba osób, które zakończyły udział w projektach realizowanych w ramach Działania</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</si>
  <si>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</si>
  <si>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</si>
  <si>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</si>
  <si>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</si>
  <si>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</si>
  <si>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</si>
  <si>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</si>
  <si>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Liczba instytucji pomocy społecznej, które uczestniczyły w projektach systemowych, mających na celu wdrożenie standardów usług</t>
  </si>
  <si>
    <t>Liczba przedsiębiorstw, które zostały objęte wsparciem</t>
  </si>
  <si>
    <r>
      <t xml:space="preserve">Załącznik nr 7. Wartość udzielonej i wypłaconej pomocy publicznej oraz pomocy </t>
    </r>
    <r>
      <rPr>
        <b/>
        <i/>
        <sz val="11"/>
        <rFont val="Arial"/>
        <family val="2"/>
      </rPr>
      <t>de minimis</t>
    </r>
    <r>
      <rPr>
        <b/>
        <sz val="11"/>
        <rFont val="Arial"/>
        <family val="2"/>
      </rPr>
      <t xml:space="preserve"> w ramach Programu Operacyjnego Kapitał Ludzki (w PLN)</t>
    </r>
  </si>
  <si>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</si>
  <si>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</si>
  <si>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</si>
  <si>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</si>
  <si>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</si>
  <si>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Liczba osób, które otrzymały:</t>
  </si>
  <si>
    <t xml:space="preserve">Liczba utworzonych miejsc pracy w ramach udzielonych z EFS środków na podjęcie działalności gospodarczej </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</si>
  <si>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</si>
  <si>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</si>
  <si>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</si>
  <si>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powiatów, na terenie których wdrożono programy z zakresu bezpłatnego poradnictwa prawnego i obywatelskiego</t>
  </si>
  <si>
    <t>Liczba reprezentatywnych organizacji partnerów społecznych, które były objęte wsparciem w zakresie budowania ich potencjału</t>
  </si>
  <si>
    <t>Liczba szkół (podstawowych, gimnazjów i ponadgimnazjalnych prowadzących kształcenie ogólne), które zrealizowały projekty rozwojowe w ramach Działania</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</si>
  <si>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</si>
  <si>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</si>
  <si>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</si>
  <si>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 tym rolnicy</t>
  </si>
  <si>
    <t>pomaturalne</t>
  </si>
  <si>
    <t>wyższe</t>
  </si>
  <si>
    <t>podstawowe, gimnazjalne
i niższe</t>
  </si>
  <si>
    <t>L.p.</t>
  </si>
  <si>
    <t>Wartość docelowa wskaźnika</t>
  </si>
  <si>
    <t>Stopień realizacji wskaźnika</t>
  </si>
  <si>
    <t>10=(9/3)*100</t>
  </si>
  <si>
    <t>Liczba instytucji publicznych służb zatrudnienia, które uczestniczyły w projektach mających na celu wdrożenie standardów usług</t>
  </si>
  <si>
    <r>
      <t>liczba osób, które zakończyły udział w Działaniu</t>
    </r>
    <r>
      <rPr>
        <sz val="9"/>
        <rFont val="Arial"/>
        <family val="2"/>
      </rPr>
      <t xml:space="preserve"> - dot. uczestników, którzy zakończyli udział w Działaniu od roku, w którym w Planach działania wprowadzono kryteria dot. pomiaru efektywności zatrudnieniowej
</t>
    </r>
    <r>
      <rPr>
        <b/>
        <sz val="9"/>
        <rFont val="Arial"/>
        <family val="2"/>
      </rPr>
      <t>W kol. 3-5 należy wykazać osoby, nie wcześniej niż po upływie trzech miesięcy, licząc od dnia zakończenia uczestnictwa w Działaniu lub jeżeli dana osoba podjęła zatrudnienie</t>
    </r>
  </si>
  <si>
    <t>- w tym młodzież zagrożona wykluczeniem społecznym (15-25 lat)</t>
  </si>
  <si>
    <t>-  w tym więźniowie</t>
  </si>
  <si>
    <t>- w tym Romowie</t>
  </si>
  <si>
    <t>- w tym osoby niepełnosprawne</t>
  </si>
  <si>
    <t>- w tym liczba osób w wieku powyżej 50. roku życia</t>
  </si>
  <si>
    <t>- w tym onkolodzy</t>
  </si>
  <si>
    <t>- w tym kardiolodzy</t>
  </si>
  <si>
    <t>- w tym lekarze medycyny pracy</t>
  </si>
  <si>
    <t xml:space="preserve">- w tym publiczne instytucje szkolnictwa wyższego </t>
  </si>
  <si>
    <t>- w tym prywatne instytucje szkolnictwa wyższego</t>
  </si>
  <si>
    <t>- urzędy marszałkowskie</t>
  </si>
  <si>
    <t>- urzędy powiatowe</t>
  </si>
  <si>
    <t>- urzędy gmin</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</si>
  <si>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</si>
  <si>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</si>
  <si>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</si>
  <si>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</si>
  <si>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</si>
  <si>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</si>
  <si>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</si>
  <si>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</si>
  <si>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t>Liczba klientów instytucji pomocy społecznej objętych kontraktami socjalnymi w ramach realizowanych projektów</t>
  </si>
  <si>
    <t xml:space="preserve">6.1 Poprawa dostępu do zatrudnienia oraz wspieranie aktywności zawodowej w regionie
6.2 Wsparcie oraz promocja przedsiębiorczości i samozatrudnienia
6.3 Inicjatywy lokalne na rzecz podnoszenia poziomu aktywności zawodowej na obszarach wiejskich
</t>
  </si>
  <si>
    <t>Wojewódzki Urząd Pracy w Zielonej Górze</t>
  </si>
  <si>
    <t>2012 rok</t>
  </si>
  <si>
    <t>Liczba osób należących do kadry szkoleniowej, które podniosły swoje kwalifikacje zgodnie z tzw. podejściem kompetencyjnym*</t>
  </si>
  <si>
    <t>Liczba jednostek służby zdrowia, które uzyskały akredytację Centrum Monitorowania Jakości w Ochronie Zdrowia w ramach Działania</t>
  </si>
  <si>
    <r>
      <t xml:space="preserve">Należy wypełnić w oparciu o dane z załącznika nr 2 </t>
    </r>
    <r>
      <rPr>
        <i/>
        <sz val="10"/>
        <rFont val="Calibri"/>
        <family val="2"/>
      </rPr>
      <t>"Szczegółowa charakterystyka udzielonego wsparcia"</t>
    </r>
    <r>
      <rPr>
        <sz val="10"/>
        <rFont val="Calibri"/>
        <family val="2"/>
      </rPr>
      <t xml:space="preserv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uwzględnić dane kumulatywne od początku okresu ich realizacji.</t>
    </r>
  </si>
  <si>
    <r>
      <t xml:space="preserve">Należy wypełnić w oparciu o dane z załącznika nr 2 </t>
    </r>
    <r>
      <rPr>
        <i/>
        <sz val="12"/>
        <rFont val="Calibri"/>
        <family val="2"/>
      </rPr>
      <t>"Szczegółowa charakterystyka udzielonego wsparcia"</t>
    </r>
    <r>
      <rPr>
        <sz val="12"/>
        <rFont val="Calibri"/>
        <family val="2"/>
      </rPr>
      <t xml:space="preserv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uwzględnić dane kumulatywne od początku okresu ich realizacji.</t>
    </r>
  </si>
  <si>
    <r>
      <t xml:space="preserve">Tabela stanowi uszczegółowienie informacji przekazanych w ramach załącznika nr 2 </t>
    </r>
    <r>
      <rPr>
        <i/>
        <sz val="12"/>
        <rFont val="Calibri"/>
        <family val="2"/>
      </rPr>
      <t>Przepływ uczestników projektów realizowanych w ramach Działania</t>
    </r>
    <r>
      <rPr>
        <sz val="12"/>
        <rFont val="Calibri"/>
        <family val="2"/>
      </rPr>
      <t xml:space="preserve">. Należy w niej uwzględnić każdą osobę, która rozpoczęła udział w projekcie. Jedna osoba może być wykazana tylko w ramach jednej z </t>
    </r>
    <r>
      <rPr>
        <b/>
        <sz val="12"/>
        <rFont val="Calibri"/>
        <family val="2"/>
      </rPr>
      <t>kategorii głównych</t>
    </r>
    <r>
      <rPr>
        <sz val="12"/>
        <rFont val="Calibri"/>
        <family val="2"/>
      </rPr>
      <t>. Kategorie główne prezentowane w tabeli są rozłączne.</t>
    </r>
  </si>
  <si>
    <r>
      <t xml:space="preserve">Uczestników projektów należy przypisać do poszczególnych kategorii/podkategorii zgodnie z definicjami określonymi 
w Instrukcji do wniosku o dofinansowanie projektu Program Operacyjny Kapitał Ludzki.
• W wierszach </t>
    </r>
    <r>
      <rPr>
        <i/>
        <sz val="12"/>
        <rFont val="Calibri"/>
        <family val="2"/>
      </rPr>
      <t>„Bezrobotni"</t>
    </r>
    <r>
      <rPr>
        <sz val="12"/>
        <rFont val="Calibri"/>
        <family val="2"/>
      </rPr>
      <t xml:space="preserve"> oraz </t>
    </r>
    <r>
      <rPr>
        <i/>
        <sz val="12"/>
        <rFont val="Calibri"/>
        <family val="2"/>
      </rPr>
      <t>„w tym osoby długotrwale bezrobotne"</t>
    </r>
    <r>
      <rPr>
        <sz val="12"/>
        <rFont val="Calibri"/>
        <family val="2"/>
      </rPr>
      <t xml:space="preserve"> należy monitorować uczestników projektu zgodnie z definicjami określonymi w Ustawie z dnia 20 kwietnia 2004 r. o promocji zatrudnienia i instytucjach rynku pracy.
• W wierszu </t>
    </r>
    <r>
      <rPr>
        <i/>
        <sz val="12"/>
        <rFont val="Calibri"/>
        <family val="2"/>
      </rPr>
      <t>„w tym osoby należące do mniejszości narodowych i etnicznych”</t>
    </r>
    <r>
      <rPr>
        <sz val="12"/>
        <rFont val="Calibri"/>
        <family val="2"/>
      </rPr>
      <t xml:space="preserve"> obowiązkowo należy wykazać uczestników projektów realizowanych w ramach Poddziałania 1.3.1. W wierszu </t>
    </r>
    <r>
      <rPr>
        <i/>
        <sz val="12"/>
        <rFont val="Calibri"/>
        <family val="2"/>
      </rPr>
      <t>„w tym migranci”</t>
    </r>
    <r>
      <rPr>
        <sz val="12"/>
        <rFont val="Calibri"/>
        <family val="2"/>
      </rPr>
      <t xml:space="preserve"> obowiązkowo należy wykazać uczestników projektów realizowanych w ramach Poddziałania 1.3.7. W wierszu </t>
    </r>
    <r>
      <rPr>
        <i/>
        <sz val="12"/>
        <rFont val="Calibri"/>
        <family val="2"/>
      </rPr>
      <t>„w tym osoby niepełnosprawne”</t>
    </r>
    <r>
      <rPr>
        <sz val="12"/>
        <rFont val="Calibri"/>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2"/>
        <rFont val="Calibri"/>
        <family val="2"/>
      </rPr>
      <t>„w tym osoby z terenów wiejskich”</t>
    </r>
    <r>
      <rPr>
        <sz val="12"/>
        <rFont val="Calibri"/>
        <family val="2"/>
      </rPr>
      <t xml:space="preserve"> należy monitorować uczestników projektów realizowanych w ramach 
Priorytetów regionalnych (VI-IX) zgodnie z definicją określoną przez Główny Urząd Statystyczny i przedstawioną 
w </t>
    </r>
    <r>
      <rPr>
        <i/>
        <sz val="12"/>
        <rFont val="Calibri"/>
        <family val="2"/>
      </rPr>
      <t>Podręczniku wskaźników PO KL 2007-2013</t>
    </r>
    <r>
      <rPr>
        <sz val="12"/>
        <rFont val="Calibri"/>
        <family val="2"/>
      </rPr>
      <t>.</t>
    </r>
  </si>
  <si>
    <t>Priorytet VI</t>
  </si>
  <si>
    <t>Komentarz dot. 6.1</t>
  </si>
  <si>
    <t>W sprawozdaniu za 2011 rok wykazano za dużo o 1K i 1 M wśród osób uczących się lub kształcących i za dużo o 20 K zamieszkujących tereny wiejskie.</t>
  </si>
  <si>
    <t>Komentarz dot. 6.2</t>
  </si>
  <si>
    <t xml:space="preserve">W sprawozdaniu za 2011 rok wykazano za dużo o 1 K i 1 M w ramach osób bezrobotnych, o 3 K i 1 M w ramach osób długotrwale bezrobotnych, za mało o 1 K i 2 M w ramach osób nieaktywnych zawodowo,  za mało o 1 K i za dużo 1 M w ramach kat. osób uczących się, za dużo o 1 M w kategorii osób zatrudnionych, rolników,  za dużo o 2 K i 2 M w kategorii osób zatrudnionych w mikro przedsiębiorstwach, za mało o 1 M w kat. osób zatrudnionych w małych przedsiębiorstwach, za mało o 1 K  w kategorii osób zatrudnionych w średnich przedsiębiorstwach, za dużo o 1 M w kategorii osób zatrudnionych w dużych przedsiębiorstwach,  za mało o 1 K i 1 M w kategorii osób pracujących w administracji publicznej, za mało o 1 M w  kategorii osób zatrudnionych w organizacjach pozarządowych. Wykazano również za mało o 1 K i za dużo o 1 M w kategorii osób niepełnosprawnych. </t>
  </si>
  <si>
    <t>nie dotyczy</t>
  </si>
  <si>
    <t>Rozporządzenie wydane na podstawie art. 21 ust. 3 ustawy z dnia 6 grudnia 2006 r. o zasadach prowadzenia polityki rozwoju (Dz. U. z 2009 r. Nr 84,poz. 712), tj.: Rozporządzenie Ministra Rozwoju Regionalnego z dnia 15 grudnia 2010 r. w sprawie udzielania pomocy publicznej w ramach Programu Operacyjnego Kapitał Ludzki (Dz. U. Nr 239, poz. 1598)</t>
  </si>
  <si>
    <t>Ustawa z dnia 20 kwietnia 2004 r. o promocji zatrudnienia i instytucjach rynku pracy (Dz. U. z 2008 r. Nr 69, poz. 415, z późn. zm.) i rozporządzenia wykonawcze:                                                                                              Rozporządzenie Ministra Pracy i Polityki Społecznej z dnia 17 kwietnia 2009 r. w sprawie dokonywania refundacji kosztów wyposażenia lub doposażenia stanowiska pracy dla skierowanego bezrobotnego oraz przyznawania bezrobotnemu
środków na podjęcie działalności gospodarczej (Dz.U.09.62.512 z późn. zm.)                                     Rozporządzenie Ministra Pracy i Polityki Społecznej z dnia 7 stycznia 2009 r. w sprawie organizowania prac interwencyjnych i robót publicznych oraz jednorazowej refundacji kosztów z tytułu opłacanych składek na ubezpieczenie społeczne (Dz. U. z 2009 r. 51 nr 5, poz. 25)</t>
  </si>
  <si>
    <r>
      <t xml:space="preserve">Pomoc publiczna oraz pomoc </t>
    </r>
    <r>
      <rPr>
        <b/>
        <i/>
        <sz val="10"/>
        <rFont val="Cambria"/>
        <family val="1"/>
      </rPr>
      <t>de minimis</t>
    </r>
    <r>
      <rPr>
        <b/>
        <sz val="10"/>
        <rFont val="Cambria"/>
        <family val="1"/>
      </rPr>
      <t xml:space="preserve"> udzialana na rzecz MŚP przez instytucje pełniące rolę pośredników</t>
    </r>
  </si>
  <si>
    <t>W ramach 6.1 kwota 93 718,60 została przekazana do dużych przedsiębiorstw.</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</si>
</sst>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64">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1"/>
      <name val="Arial"/>
      <family val="2"/>
    </font>
    <font>
      <sz val="11"/>
      <name val="Arial"/>
      <family val="2"/>
    </font>
    <font>
      <i/>
      <sz val="10"/>
      <name val="Arial"/>
      <family val="2"/>
    </font>
    <font>
      <b/>
      <i/>
      <sz val="10"/>
      <name val="Arial"/>
      <family val="2"/>
    </font>
    <font>
      <sz val="9"/>
      <name val="Arial"/>
      <family val="2"/>
    </font>
    <font>
      <i/>
      <sz val="9"/>
      <name val="Arial"/>
      <family val="2"/>
    </font>
    <font>
      <sz val="12"/>
      <name val="Arial"/>
      <family val="2"/>
    </font>
    <font>
      <b/>
      <sz val="9"/>
      <name val="Arial"/>
      <family val="2"/>
    </font>
    <font>
      <b/>
      <i/>
      <sz val="9"/>
      <name val="Arial"/>
      <family val="2"/>
    </font>
    <font>
      <sz val="7"/>
      <name val="Arial"/>
      <family val="2"/>
    </font>
    <font>
      <b/>
      <sz val="7"/>
      <name val="Arial"/>
      <family val="2"/>
    </font>
    <font>
      <b/>
      <sz val="8"/>
      <name val="Arial"/>
      <family val="2"/>
    </font>
    <font>
      <u val="single"/>
      <sz val="10"/>
      <name val="Arial"/>
      <family val="2"/>
    </font>
    <font>
      <sz val="10"/>
      <name val="Calibri"/>
      <family val="2"/>
    </font>
    <font>
      <i/>
      <sz val="10"/>
      <name val="Calibri"/>
      <family val="2"/>
    </font>
    <font>
      <b/>
      <sz val="12"/>
      <name val="Calibri"/>
      <family val="2"/>
    </font>
    <font>
      <sz val="12"/>
      <name val="Calibri"/>
      <family val="2"/>
    </font>
    <font>
      <i/>
      <sz val="12"/>
      <name val="Calibri"/>
      <family val="2"/>
    </font>
    <font>
      <b/>
      <sz val="10"/>
      <name val="Cambria"/>
      <family val="1"/>
    </font>
    <font>
      <b/>
      <i/>
      <sz val="10"/>
      <name val="Cambria"/>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2"/>
      <name val="Calibri"/>
      <family val="2"/>
    </font>
    <font>
      <b/>
      <sz val="10"/>
      <name val="Calibri"/>
      <family val="2"/>
    </font>
    <font>
      <sz val="8"/>
      <name val="Calibri"/>
      <family val="2"/>
    </font>
    <font>
      <sz val="10"/>
      <name val="Cambria"/>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22"/>
        <bgColor indexed="64"/>
      </patternFill>
    </fill>
    <fill>
      <patternFill patternType="solid">
        <fgColor indexed="41"/>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style="medium"/>
      <right style="thin"/>
      <top style="thin"/>
      <bottom>
        <color indexed="63"/>
      </bottom>
    </border>
    <border>
      <left style="thin"/>
      <right style="medium"/>
      <top style="thin"/>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style="thin"/>
      <top style="thin"/>
      <bottom style="thin"/>
    </border>
    <border>
      <left>
        <color indexed="63"/>
      </left>
      <right style="medium"/>
      <top style="medium"/>
      <bottom style="thin"/>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0" fillId="0" borderId="0">
      <alignment/>
      <protection/>
    </xf>
    <xf numFmtId="0" fontId="0" fillId="0" borderId="0">
      <alignment/>
      <protection/>
    </xf>
    <xf numFmtId="0" fontId="58"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3" fillId="32" borderId="0" applyNumberFormat="0" applyBorder="0" applyAlignment="0" applyProtection="0"/>
  </cellStyleXfs>
  <cellXfs count="526">
    <xf numFmtId="0" fontId="0" fillId="0" borderId="0" xfId="0" applyAlignment="1">
      <alignment/>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7" fillId="0" borderId="0" xfId="0" applyFont="1" applyBorder="1" applyAlignment="1">
      <alignment horizontal="left" vertical="center"/>
    </xf>
    <xf numFmtId="0" fontId="0" fillId="0" borderId="0" xfId="0" applyFont="1" applyAlignment="1">
      <alignment/>
    </xf>
    <xf numFmtId="0" fontId="7" fillId="0" borderId="0" xfId="0" applyFont="1" applyAlignment="1">
      <alignment horizontal="center" vertical="center"/>
    </xf>
    <xf numFmtId="0" fontId="0" fillId="0" borderId="0" xfId="0" applyFont="1" applyAlignment="1">
      <alignment/>
    </xf>
    <xf numFmtId="0" fontId="0" fillId="0" borderId="0" xfId="0" applyNumberFormat="1" applyFont="1" applyAlignment="1">
      <alignment horizontal="left" wrapText="1"/>
    </xf>
    <xf numFmtId="0" fontId="4" fillId="0" borderId="0" xfId="0" applyNumberFormat="1" applyFont="1" applyAlignment="1">
      <alignment horizontal="left" wrapText="1"/>
    </xf>
    <xf numFmtId="0" fontId="5" fillId="0" borderId="0" xfId="0" applyFont="1" applyBorder="1"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4" fillId="0" borderId="1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xf>
    <xf numFmtId="0" fontId="4"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left" wrapText="1"/>
    </xf>
    <xf numFmtId="0" fontId="0" fillId="0" borderId="11" xfId="0" applyFont="1" applyBorder="1" applyAlignment="1">
      <alignment horizontal="left" wrapText="1"/>
    </xf>
    <xf numFmtId="0" fontId="4" fillId="0" borderId="10" xfId="0" applyFont="1" applyBorder="1" applyAlignment="1">
      <alignment horizontal="center" wrapText="1"/>
    </xf>
    <xf numFmtId="0" fontId="7" fillId="0" borderId="0" xfId="53" applyFont="1" applyBorder="1" applyAlignment="1">
      <alignment horizontal="center" vertical="center"/>
      <protection/>
    </xf>
    <xf numFmtId="0" fontId="0" fillId="0" borderId="0" xfId="0" applyFont="1" applyBorder="1" applyAlignment="1">
      <alignment horizontal="center"/>
    </xf>
    <xf numFmtId="0" fontId="0" fillId="0" borderId="0" xfId="0" applyFont="1" applyAlignment="1">
      <alignment/>
    </xf>
    <xf numFmtId="0" fontId="4" fillId="0" borderId="12" xfId="0" applyFont="1" applyBorder="1" applyAlignment="1">
      <alignment horizontal="center" vertical="center" wrapText="1"/>
    </xf>
    <xf numFmtId="0" fontId="4" fillId="0" borderId="10" xfId="0" applyFont="1" applyBorder="1" applyAlignment="1">
      <alignment horizontal="center" vertical="center"/>
    </xf>
    <xf numFmtId="0" fontId="7" fillId="0" borderId="0" xfId="0" applyFont="1" applyBorder="1" applyAlignment="1">
      <alignment/>
    </xf>
    <xf numFmtId="0" fontId="7" fillId="0" borderId="0" xfId="0" applyFont="1" applyAlignment="1">
      <alignment/>
    </xf>
    <xf numFmtId="0" fontId="0" fillId="0" borderId="0" xfId="0" applyFont="1" applyAlignment="1">
      <alignment/>
    </xf>
    <xf numFmtId="0" fontId="7" fillId="0" borderId="0" xfId="0" applyFont="1" applyBorder="1" applyAlignment="1">
      <alignment horizontal="center" vertical="center"/>
    </xf>
    <xf numFmtId="0" fontId="0" fillId="0" borderId="0" xfId="0" applyFont="1" applyAlignment="1">
      <alignment horizontal="center"/>
    </xf>
    <xf numFmtId="0" fontId="8" fillId="0" borderId="0" xfId="0" applyFont="1" applyBorder="1" applyAlignment="1">
      <alignment vertical="top"/>
    </xf>
    <xf numFmtId="0" fontId="8" fillId="0" borderId="0" xfId="0" applyFont="1" applyAlignment="1">
      <alignment/>
    </xf>
    <xf numFmtId="0" fontId="4" fillId="0" borderId="13" xfId="0" applyFont="1" applyBorder="1" applyAlignment="1">
      <alignment horizontal="center" vertical="center" wrapText="1"/>
    </xf>
    <xf numFmtId="0" fontId="0" fillId="0" borderId="0" xfId="0" applyFont="1" applyAlignment="1">
      <alignment horizontal="center"/>
    </xf>
    <xf numFmtId="0" fontId="0" fillId="0" borderId="14" xfId="0" applyFont="1" applyBorder="1" applyAlignment="1">
      <alignment horizontal="center" vertical="center" wrapText="1"/>
    </xf>
    <xf numFmtId="0" fontId="0" fillId="0" borderId="15" xfId="0" applyFont="1" applyBorder="1" applyAlignment="1">
      <alignment vertical="center" wrapText="1"/>
    </xf>
    <xf numFmtId="0" fontId="0" fillId="0" borderId="16" xfId="0" applyFont="1" applyBorder="1" applyAlignment="1">
      <alignment horizontal="center" vertical="center" wrapText="1"/>
    </xf>
    <xf numFmtId="0" fontId="0" fillId="0" borderId="12" xfId="0" applyFont="1" applyBorder="1" applyAlignment="1">
      <alignment vertical="center" wrapText="1"/>
    </xf>
    <xf numFmtId="0" fontId="4" fillId="0" borderId="12"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10" fillId="0" borderId="0" xfId="0" applyFont="1" applyFill="1" applyBorder="1" applyAlignment="1">
      <alignment horizontal="justify" vertical="center"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10"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4" fillId="0" borderId="17" xfId="0" applyFont="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1"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0" xfId="0" applyFont="1" applyFill="1" applyBorder="1" applyAlignment="1">
      <alignment horizontal="justify" vertical="center" wrapText="1"/>
    </xf>
    <xf numFmtId="0" fontId="4" fillId="0" borderId="17" xfId="0" applyFont="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vertical="center" wrapText="1"/>
    </xf>
    <xf numFmtId="0" fontId="0" fillId="0" borderId="23" xfId="0" applyFont="1" applyBorder="1" applyAlignment="1">
      <alignment horizontal="center" vertical="center"/>
    </xf>
    <xf numFmtId="0" fontId="0" fillId="0" borderId="0" xfId="0" applyFont="1" applyAlignment="1">
      <alignment vertical="center" wrapText="1"/>
    </xf>
    <xf numFmtId="0" fontId="0" fillId="0" borderId="24" xfId="0" applyFont="1" applyBorder="1" applyAlignment="1">
      <alignment vertical="center" wrapText="1"/>
    </xf>
    <xf numFmtId="0" fontId="0" fillId="0" borderId="0" xfId="53" applyFont="1">
      <alignment/>
      <protection/>
    </xf>
    <xf numFmtId="0" fontId="4" fillId="0" borderId="0" xfId="53" applyFont="1">
      <alignment/>
      <protection/>
    </xf>
    <xf numFmtId="0" fontId="0" fillId="0" borderId="0" xfId="53" applyFont="1" applyBorder="1" applyAlignment="1">
      <alignment/>
      <protection/>
    </xf>
    <xf numFmtId="0" fontId="4" fillId="0" borderId="0" xfId="53" applyFont="1" applyAlignment="1">
      <alignment/>
      <protection/>
    </xf>
    <xf numFmtId="0" fontId="0" fillId="0" borderId="0" xfId="53" applyFont="1">
      <alignment/>
      <protection/>
    </xf>
    <xf numFmtId="0" fontId="0" fillId="0" borderId="0" xfId="53" applyFont="1" applyBorder="1">
      <alignment/>
      <protection/>
    </xf>
    <xf numFmtId="0" fontId="7" fillId="0" borderId="0" xfId="53" applyFont="1" applyAlignment="1">
      <alignment horizontal="center" vertical="center"/>
      <protection/>
    </xf>
    <xf numFmtId="0" fontId="7" fillId="0" borderId="0" xfId="53" applyFont="1" applyAlignment="1" applyProtection="1">
      <alignment horizontal="center" vertical="center"/>
      <protection locked="0"/>
    </xf>
    <xf numFmtId="0" fontId="0" fillId="0" borderId="0" xfId="53" applyFont="1" applyProtection="1">
      <alignment/>
      <protection locked="0"/>
    </xf>
    <xf numFmtId="0" fontId="0" fillId="0" borderId="0" xfId="53" applyFont="1">
      <alignment/>
      <protection/>
    </xf>
    <xf numFmtId="0" fontId="9" fillId="0" borderId="0" xfId="53" applyFont="1" applyFill="1" applyBorder="1" applyAlignment="1">
      <alignment horizontal="left" vertical="center" wrapText="1"/>
      <protection/>
    </xf>
    <xf numFmtId="0" fontId="0" fillId="0" borderId="0" xfId="53" applyFont="1" applyAlignment="1">
      <alignment horizontal="justify" vertical="center"/>
      <protection/>
    </xf>
    <xf numFmtId="0" fontId="0" fillId="0" borderId="0" xfId="53" applyFont="1">
      <alignment/>
      <protection/>
    </xf>
    <xf numFmtId="0" fontId="0" fillId="0" borderId="0" xfId="53" applyFont="1" applyAlignment="1">
      <alignment horizontal="left" vertical="center"/>
      <protection/>
    </xf>
    <xf numFmtId="0" fontId="0" fillId="0" borderId="0" xfId="53" applyFont="1" applyAlignment="1">
      <alignment horizontal="left" vertical="center" wrapText="1"/>
      <protection/>
    </xf>
    <xf numFmtId="0" fontId="0" fillId="0" borderId="0" xfId="53" applyFont="1" applyAlignment="1">
      <alignment horizontal="left" vertical="center"/>
      <protection/>
    </xf>
    <xf numFmtId="0" fontId="0" fillId="0" borderId="0" xfId="53" applyFont="1" applyFill="1" applyAlignment="1">
      <alignment horizontal="left" vertical="center"/>
      <protection/>
    </xf>
    <xf numFmtId="0" fontId="4" fillId="0" borderId="10" xfId="0" applyFont="1" applyBorder="1" applyAlignment="1">
      <alignment horizontal="left" vertical="center" wrapText="1"/>
    </xf>
    <xf numFmtId="0" fontId="4" fillId="0" borderId="0" xfId="0" applyFont="1" applyAlignment="1">
      <alignment vertical="top"/>
    </xf>
    <xf numFmtId="0" fontId="4" fillId="0" borderId="25" xfId="0" applyFont="1" applyFill="1" applyBorder="1" applyAlignment="1">
      <alignment horizontal="justify" vertical="top" wrapText="1"/>
    </xf>
    <xf numFmtId="0" fontId="0" fillId="0" borderId="25" xfId="0" applyBorder="1" applyAlignment="1">
      <alignment/>
    </xf>
    <xf numFmtId="0" fontId="0" fillId="33" borderId="26" xfId="0" applyFill="1" applyBorder="1" applyAlignment="1">
      <alignment horizontal="left" vertical="top" wrapText="1"/>
    </xf>
    <xf numFmtId="0" fontId="0" fillId="33" borderId="27" xfId="0" applyFill="1" applyBorder="1" applyAlignment="1">
      <alignment/>
    </xf>
    <xf numFmtId="0" fontId="4" fillId="0" borderId="28" xfId="0" applyFont="1" applyFill="1" applyBorder="1" applyAlignment="1">
      <alignment horizontal="justify" vertical="top" wrapText="1"/>
    </xf>
    <xf numFmtId="0" fontId="0" fillId="0" borderId="29" xfId="0" applyBorder="1" applyAlignment="1">
      <alignment/>
    </xf>
    <xf numFmtId="0" fontId="0" fillId="33" borderId="30" xfId="0" applyFill="1" applyBorder="1" applyAlignment="1">
      <alignment horizontal="left" vertical="top" wrapText="1"/>
    </xf>
    <xf numFmtId="0" fontId="0" fillId="33" borderId="31" xfId="0" applyFill="1" applyBorder="1" applyAlignment="1">
      <alignment/>
    </xf>
    <xf numFmtId="0" fontId="4" fillId="0" borderId="25" xfId="0" applyFont="1" applyBorder="1" applyAlignment="1">
      <alignment horizontal="justify" vertical="top" wrapText="1"/>
    </xf>
    <xf numFmtId="0" fontId="4" fillId="34" borderId="28" xfId="0" applyFont="1" applyFill="1" applyBorder="1" applyAlignment="1">
      <alignment horizontal="justify" vertical="top"/>
    </xf>
    <xf numFmtId="0" fontId="0" fillId="34" borderId="29" xfId="0" applyFill="1" applyBorder="1" applyAlignment="1">
      <alignment/>
    </xf>
    <xf numFmtId="0" fontId="4" fillId="35" borderId="25" xfId="0" applyFont="1" applyFill="1" applyBorder="1" applyAlignment="1">
      <alignment horizontal="left" vertical="top" wrapText="1"/>
    </xf>
    <xf numFmtId="0" fontId="0" fillId="35" borderId="25" xfId="0" applyFill="1" applyBorder="1" applyAlignment="1">
      <alignment/>
    </xf>
    <xf numFmtId="0" fontId="4" fillId="34" borderId="27" xfId="0" applyFont="1" applyFill="1" applyBorder="1" applyAlignment="1">
      <alignment horizontal="justify" vertical="top"/>
    </xf>
    <xf numFmtId="0" fontId="4" fillId="34" borderId="27" xfId="0" applyFont="1" applyFill="1" applyBorder="1" applyAlignment="1">
      <alignment horizontal="left"/>
    </xf>
    <xf numFmtId="0" fontId="4" fillId="35" borderId="29" xfId="0" applyFont="1" applyFill="1" applyBorder="1" applyAlignment="1">
      <alignment horizontal="left" vertical="top" wrapText="1"/>
    </xf>
    <xf numFmtId="0" fontId="4" fillId="35" borderId="29" xfId="0" applyFont="1" applyFill="1" applyBorder="1" applyAlignment="1">
      <alignment/>
    </xf>
    <xf numFmtId="0" fontId="0" fillId="34" borderId="31" xfId="0" applyFill="1" applyBorder="1" applyAlignment="1">
      <alignment horizontal="right" vertical="top"/>
    </xf>
    <xf numFmtId="0" fontId="0" fillId="34" borderId="31" xfId="0" applyFill="1" applyBorder="1" applyAlignment="1">
      <alignment/>
    </xf>
    <xf numFmtId="0" fontId="0" fillId="35" borderId="32" xfId="0" applyFill="1" applyBorder="1" applyAlignment="1">
      <alignment horizontal="right" vertical="top" wrapText="1"/>
    </xf>
    <xf numFmtId="0" fontId="0" fillId="35" borderId="32" xfId="0" applyFill="1" applyBorder="1" applyAlignment="1">
      <alignment/>
    </xf>
    <xf numFmtId="0" fontId="4" fillId="0" borderId="28" xfId="0" applyFont="1" applyBorder="1" applyAlignment="1">
      <alignment horizontal="justify" vertical="top" wrapText="1"/>
    </xf>
    <xf numFmtId="0" fontId="0" fillId="0" borderId="32" xfId="0" applyBorder="1" applyAlignment="1">
      <alignment/>
    </xf>
    <xf numFmtId="0" fontId="4" fillId="0" borderId="25" xfId="0" applyFont="1" applyBorder="1" applyAlignment="1">
      <alignment horizontal="left" vertical="top" wrapText="1"/>
    </xf>
    <xf numFmtId="0" fontId="4" fillId="0" borderId="28" xfId="0" applyFont="1" applyBorder="1" applyAlignment="1">
      <alignment horizontal="justify" vertical="top"/>
    </xf>
    <xf numFmtId="0" fontId="0" fillId="0" borderId="25" xfId="0" applyFill="1" applyBorder="1" applyAlignment="1">
      <alignment/>
    </xf>
    <xf numFmtId="0" fontId="4" fillId="0" borderId="29" xfId="0" applyFont="1" applyBorder="1" applyAlignment="1">
      <alignment horizontal="justify" vertical="top" wrapText="1"/>
    </xf>
    <xf numFmtId="0" fontId="4" fillId="36" borderId="0" xfId="0" applyFont="1" applyFill="1" applyBorder="1" applyAlignment="1">
      <alignment horizontal="center" vertical="center" textRotation="255" wrapText="1" readingOrder="2"/>
    </xf>
    <xf numFmtId="0" fontId="0" fillId="0" borderId="33" xfId="0" applyBorder="1" applyAlignment="1">
      <alignment/>
    </xf>
    <xf numFmtId="0" fontId="4" fillId="0" borderId="32" xfId="0" applyFont="1" applyBorder="1" applyAlignment="1">
      <alignment horizontal="justify" vertical="top" wrapText="1"/>
    </xf>
    <xf numFmtId="0" fontId="4" fillId="34" borderId="29" xfId="0" applyFont="1" applyFill="1" applyBorder="1" applyAlignment="1">
      <alignment horizontal="justify" vertical="top"/>
    </xf>
    <xf numFmtId="0" fontId="0" fillId="34" borderId="25" xfId="0" applyFill="1" applyBorder="1" applyAlignment="1">
      <alignment/>
    </xf>
    <xf numFmtId="0" fontId="0" fillId="35" borderId="29" xfId="0" applyFill="1" applyBorder="1" applyAlignment="1">
      <alignment/>
    </xf>
    <xf numFmtId="0" fontId="4" fillId="34" borderId="34" xfId="0" applyFont="1" applyFill="1" applyBorder="1" applyAlignment="1">
      <alignment/>
    </xf>
    <xf numFmtId="0" fontId="4" fillId="35" borderId="26" xfId="0" applyFont="1" applyFill="1" applyBorder="1" applyAlignment="1">
      <alignment horizontal="left" vertical="top" wrapText="1"/>
    </xf>
    <xf numFmtId="0" fontId="0" fillId="34" borderId="32" xfId="0" applyFill="1" applyBorder="1" applyAlignment="1">
      <alignment horizontal="right" vertical="top"/>
    </xf>
    <xf numFmtId="0" fontId="0" fillId="34" borderId="35" xfId="0" applyFont="1" applyFill="1" applyBorder="1" applyAlignment="1">
      <alignment/>
    </xf>
    <xf numFmtId="0" fontId="0" fillId="35" borderId="30" xfId="0" applyFill="1" applyBorder="1" applyAlignment="1">
      <alignment horizontal="right" vertical="top" wrapText="1"/>
    </xf>
    <xf numFmtId="0" fontId="0" fillId="0" borderId="25" xfId="0" applyFont="1" applyFill="1" applyBorder="1" applyAlignment="1">
      <alignment/>
    </xf>
    <xf numFmtId="0" fontId="4" fillId="0" borderId="25" xfId="0" applyFont="1" applyBorder="1" applyAlignment="1">
      <alignment horizontal="justify" vertical="top"/>
    </xf>
    <xf numFmtId="0" fontId="0" fillId="33" borderId="33" xfId="0" applyFill="1" applyBorder="1" applyAlignment="1">
      <alignment horizontal="left" vertical="top" wrapText="1"/>
    </xf>
    <xf numFmtId="0" fontId="0" fillId="33" borderId="28" xfId="0" applyFill="1" applyBorder="1" applyAlignment="1">
      <alignment/>
    </xf>
    <xf numFmtId="0" fontId="4" fillId="0" borderId="36" xfId="0" applyFont="1" applyFill="1" applyBorder="1" applyAlignment="1">
      <alignment horizontal="justify" vertical="top" wrapText="1"/>
    </xf>
    <xf numFmtId="0" fontId="0" fillId="0" borderId="37" xfId="0" applyFill="1" applyBorder="1" applyAlignment="1">
      <alignment/>
    </xf>
    <xf numFmtId="0" fontId="4" fillId="0" borderId="0" xfId="0" applyFont="1" applyAlignment="1">
      <alignment horizontal="justify" vertical="top" wrapText="1"/>
    </xf>
    <xf numFmtId="0" fontId="0" fillId="35" borderId="25" xfId="0" applyFill="1" applyBorder="1" applyAlignment="1">
      <alignment horizontal="left" vertical="top" wrapText="1"/>
    </xf>
    <xf numFmtId="0" fontId="4" fillId="34" borderId="26" xfId="0" applyFont="1" applyFill="1" applyBorder="1" applyAlignment="1">
      <alignment horizontal="justify" vertical="top"/>
    </xf>
    <xf numFmtId="0" fontId="4" fillId="34" borderId="29" xfId="0" applyFont="1" applyFill="1" applyBorder="1" applyAlignment="1">
      <alignment/>
    </xf>
    <xf numFmtId="0" fontId="0" fillId="35" borderId="29" xfId="0" applyFill="1" applyBorder="1" applyAlignment="1">
      <alignment horizontal="left" vertical="top" wrapText="1"/>
    </xf>
    <xf numFmtId="0" fontId="0" fillId="34" borderId="30" xfId="0" applyFill="1" applyBorder="1" applyAlignment="1">
      <alignment horizontal="right" vertical="top"/>
    </xf>
    <xf numFmtId="0" fontId="0" fillId="34" borderId="32" xfId="0" applyFill="1" applyBorder="1" applyAlignment="1">
      <alignment/>
    </xf>
    <xf numFmtId="0" fontId="4" fillId="0" borderId="38" xfId="0" applyFont="1" applyFill="1" applyBorder="1" applyAlignment="1">
      <alignment horizontal="justify" vertical="top" wrapText="1"/>
    </xf>
    <xf numFmtId="0" fontId="17" fillId="37" borderId="29" xfId="0" applyFont="1" applyFill="1" applyBorder="1" applyAlignment="1">
      <alignment horizontal="center" vertical="center" textRotation="255" wrapText="1"/>
    </xf>
    <xf numFmtId="0" fontId="4" fillId="0" borderId="25" xfId="0" applyFont="1" applyFill="1" applyBorder="1" applyAlignment="1">
      <alignment horizontal="left" vertical="top" wrapText="1"/>
    </xf>
    <xf numFmtId="0" fontId="0" fillId="33" borderId="26" xfId="0" applyFill="1" applyBorder="1" applyAlignment="1">
      <alignment/>
    </xf>
    <xf numFmtId="0" fontId="4" fillId="0" borderId="28" xfId="0" applyFont="1" applyFill="1" applyBorder="1" applyAlignment="1">
      <alignment horizontal="left" vertical="top" wrapText="1"/>
    </xf>
    <xf numFmtId="0" fontId="0" fillId="33" borderId="30" xfId="0" applyFill="1" applyBorder="1" applyAlignment="1">
      <alignment/>
    </xf>
    <xf numFmtId="0" fontId="0" fillId="0" borderId="39" xfId="0" applyFont="1" applyBorder="1" applyAlignment="1">
      <alignment horizontal="center"/>
    </xf>
    <xf numFmtId="0" fontId="0" fillId="0" borderId="11" xfId="0" applyFont="1" applyBorder="1" applyAlignment="1">
      <alignment horizontal="center"/>
    </xf>
    <xf numFmtId="0" fontId="4" fillId="0" borderId="0" xfId="52" applyFont="1" applyAlignment="1">
      <alignment vertical="center" wrapText="1"/>
      <protection/>
    </xf>
    <xf numFmtId="0" fontId="0" fillId="0" borderId="0" xfId="52" applyFont="1" applyAlignment="1">
      <alignment vertical="center" wrapText="1"/>
      <protection/>
    </xf>
    <xf numFmtId="0" fontId="4" fillId="38" borderId="10" xfId="52"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0" fontId="4" fillId="39" borderId="10" xfId="52" applyFont="1" applyFill="1" applyBorder="1" applyAlignment="1">
      <alignment horizontal="center" vertical="center" wrapText="1"/>
      <protection/>
    </xf>
    <xf numFmtId="0" fontId="4" fillId="39" borderId="10" xfId="52" applyFont="1" applyFill="1" applyBorder="1" applyAlignment="1">
      <alignment vertical="center" wrapText="1"/>
      <protection/>
    </xf>
    <xf numFmtId="3" fontId="0" fillId="0" borderId="10" xfId="52" applyNumberFormat="1" applyFont="1" applyFill="1" applyBorder="1" applyAlignment="1">
      <alignment vertical="center" wrapText="1"/>
      <protection/>
    </xf>
    <xf numFmtId="10" fontId="0" fillId="0" borderId="10" xfId="52" applyNumberFormat="1" applyFont="1" applyFill="1" applyBorder="1" applyAlignment="1">
      <alignment vertical="center" wrapText="1"/>
      <protection/>
    </xf>
    <xf numFmtId="0" fontId="0" fillId="0" borderId="0" xfId="53" applyFont="1">
      <alignment/>
      <protection/>
    </xf>
    <xf numFmtId="0" fontId="0" fillId="0" borderId="0" xfId="53" applyFont="1" applyAlignment="1">
      <alignment horizontal="left" vertical="center"/>
      <protection/>
    </xf>
    <xf numFmtId="0" fontId="4" fillId="0" borderId="0" xfId="52" applyFont="1" applyAlignment="1">
      <alignment horizontal="left" vertical="center" wrapText="1"/>
      <protection/>
    </xf>
    <xf numFmtId="0" fontId="0" fillId="0" borderId="0" xfId="0" applyFont="1" applyBorder="1" applyAlignment="1">
      <alignment wrapText="1"/>
    </xf>
    <xf numFmtId="0" fontId="10" fillId="40" borderId="0" xfId="0" applyFont="1" applyFill="1" applyAlignment="1">
      <alignment vertical="center" wrapText="1"/>
    </xf>
    <xf numFmtId="0" fontId="7" fillId="0" borderId="0" xfId="0" applyFont="1" applyFill="1" applyBorder="1" applyAlignment="1">
      <alignment vertical="center" wrapText="1"/>
    </xf>
    <xf numFmtId="0" fontId="21" fillId="0" borderId="10" xfId="53" applyFont="1" applyFill="1" applyBorder="1" applyAlignment="1">
      <alignment horizontal="center" vertical="center"/>
      <protection/>
    </xf>
    <xf numFmtId="0" fontId="22" fillId="33" borderId="18" xfId="53" applyFont="1" applyFill="1" applyBorder="1" applyAlignment="1">
      <alignment horizontal="center" vertical="top" wrapText="1"/>
      <protection/>
    </xf>
    <xf numFmtId="0" fontId="22" fillId="33" borderId="19" xfId="53" applyFont="1" applyFill="1" applyBorder="1" applyAlignment="1">
      <alignment horizontal="center"/>
      <protection/>
    </xf>
    <xf numFmtId="0" fontId="22" fillId="33" borderId="19" xfId="53" applyFont="1" applyFill="1" applyBorder="1" applyAlignment="1">
      <alignment horizontal="center" vertical="center"/>
      <protection/>
    </xf>
    <xf numFmtId="0" fontId="22" fillId="33" borderId="20" xfId="53" applyFont="1" applyFill="1" applyBorder="1" applyAlignment="1">
      <alignment horizontal="center" vertical="center"/>
      <protection/>
    </xf>
    <xf numFmtId="0" fontId="22" fillId="0" borderId="10" xfId="53" applyFont="1" applyBorder="1" applyAlignment="1">
      <alignment horizontal="center" vertical="center" wrapText="1"/>
      <protection/>
    </xf>
    <xf numFmtId="0" fontId="22" fillId="0" borderId="10" xfId="53" applyFont="1" applyBorder="1" applyAlignment="1">
      <alignment horizontal="left" vertical="center" wrapText="1"/>
      <protection/>
    </xf>
    <xf numFmtId="3" fontId="22" fillId="0" borderId="10" xfId="53" applyNumberFormat="1" applyFont="1" applyBorder="1" applyAlignment="1">
      <alignment horizontal="right" vertical="center" wrapText="1"/>
      <protection/>
    </xf>
    <xf numFmtId="3" fontId="21" fillId="0" borderId="10" xfId="53" applyNumberFormat="1" applyFont="1" applyBorder="1" applyAlignment="1">
      <alignment horizontal="right" vertical="center"/>
      <protection/>
    </xf>
    <xf numFmtId="3" fontId="22" fillId="0" borderId="10" xfId="53" applyNumberFormat="1" applyFont="1" applyBorder="1" applyAlignment="1">
      <alignment horizontal="right" vertical="center"/>
      <protection/>
    </xf>
    <xf numFmtId="10" fontId="22" fillId="0" borderId="10" xfId="56" applyNumberFormat="1" applyFont="1" applyBorder="1" applyAlignment="1">
      <alignment horizontal="right" vertical="center"/>
    </xf>
    <xf numFmtId="0" fontId="22" fillId="0" borderId="10" xfId="53" applyFont="1" applyBorder="1" applyAlignment="1">
      <alignment horizontal="right" vertical="center" wrapText="1"/>
      <protection/>
    </xf>
    <xf numFmtId="3" fontId="22" fillId="0" borderId="10" xfId="53" applyNumberFormat="1" applyFont="1" applyBorder="1" applyAlignment="1" quotePrefix="1">
      <alignment horizontal="right" vertical="center" wrapText="1"/>
      <protection/>
    </xf>
    <xf numFmtId="0" fontId="22" fillId="0" borderId="10" xfId="53" applyFont="1" applyBorder="1" applyAlignment="1">
      <alignment horizontal="right" vertical="center"/>
      <protection/>
    </xf>
    <xf numFmtId="0" fontId="22" fillId="0" borderId="10" xfId="53" applyFont="1" applyFill="1" applyBorder="1" applyAlignment="1">
      <alignment horizontal="left" vertical="center" wrapText="1"/>
      <protection/>
    </xf>
    <xf numFmtId="0" fontId="22" fillId="0" borderId="10" xfId="53" applyFont="1" applyBorder="1" applyAlignment="1" quotePrefix="1">
      <alignment horizontal="left" vertical="center" wrapText="1"/>
      <protection/>
    </xf>
    <xf numFmtId="0" fontId="22" fillId="0" borderId="10" xfId="53" applyFont="1" applyFill="1" applyBorder="1" applyAlignment="1">
      <alignment horizontal="center" vertical="center" wrapText="1"/>
      <protection/>
    </xf>
    <xf numFmtId="3" fontId="22" fillId="0" borderId="10" xfId="53" applyNumberFormat="1" applyFont="1" applyFill="1" applyBorder="1" applyAlignment="1">
      <alignment horizontal="right" vertical="center" wrapText="1"/>
      <protection/>
    </xf>
    <xf numFmtId="0" fontId="22" fillId="0" borderId="10" xfId="53" applyFont="1" applyFill="1" applyBorder="1" applyAlignment="1" quotePrefix="1">
      <alignment horizontal="left" vertical="center" wrapText="1"/>
      <protection/>
    </xf>
    <xf numFmtId="3" fontId="22" fillId="0" borderId="10" xfId="53" applyNumberFormat="1" applyFont="1" applyFill="1" applyBorder="1" applyAlignment="1" quotePrefix="1">
      <alignment horizontal="right" vertical="center" wrapText="1"/>
      <protection/>
    </xf>
    <xf numFmtId="0" fontId="21" fillId="0" borderId="10" xfId="53" applyFont="1" applyBorder="1" applyAlignment="1">
      <alignment horizontal="left" vertical="center"/>
      <protection/>
    </xf>
    <xf numFmtId="0" fontId="22" fillId="0" borderId="10" xfId="53" applyFont="1" applyBorder="1" applyAlignment="1">
      <alignment horizontal="left" vertical="center"/>
      <protection/>
    </xf>
    <xf numFmtId="0" fontId="22" fillId="0" borderId="10" xfId="53" applyFont="1" applyFill="1" applyBorder="1" applyAlignment="1" quotePrefix="1">
      <alignment horizontal="left" vertical="center"/>
      <protection/>
    </xf>
    <xf numFmtId="0" fontId="22" fillId="0" borderId="10" xfId="53" applyFont="1" applyBorder="1" applyAlignment="1">
      <alignment horizontal="center" vertical="center"/>
      <protection/>
    </xf>
    <xf numFmtId="3" fontId="22" fillId="0" borderId="10" xfId="53" applyNumberFormat="1" applyFont="1" applyBorder="1" applyAlignment="1">
      <alignment horizontal="left" vertical="center"/>
      <protection/>
    </xf>
    <xf numFmtId="0" fontId="22" fillId="0" borderId="10" xfId="53" applyFont="1" applyFill="1" applyBorder="1" applyAlignment="1">
      <alignment horizontal="center" vertical="center"/>
      <protection/>
    </xf>
    <xf numFmtId="0" fontId="22" fillId="0" borderId="10" xfId="53" applyFont="1" applyFill="1" applyBorder="1" applyAlignment="1">
      <alignment horizontal="right" vertical="center"/>
      <protection/>
    </xf>
    <xf numFmtId="0" fontId="22" fillId="0" borderId="10" xfId="53" applyFont="1" applyBorder="1" applyAlignment="1" quotePrefix="1">
      <alignment horizontal="left" vertical="center"/>
      <protection/>
    </xf>
    <xf numFmtId="0" fontId="22" fillId="0" borderId="10" xfId="53" applyFont="1" applyFill="1" applyBorder="1" applyAlignment="1">
      <alignment horizontal="left" vertical="center"/>
      <protection/>
    </xf>
    <xf numFmtId="0" fontId="22" fillId="0" borderId="23" xfId="53" applyFont="1" applyBorder="1" applyAlignment="1">
      <alignment horizontal="center" vertical="center"/>
      <protection/>
    </xf>
    <xf numFmtId="0" fontId="22" fillId="0" borderId="40" xfId="53" applyFont="1" applyBorder="1" applyAlignment="1">
      <alignment horizontal="center" vertical="center" wrapText="1"/>
      <protection/>
    </xf>
    <xf numFmtId="0" fontId="22" fillId="0" borderId="10" xfId="53" applyFont="1" applyFill="1" applyBorder="1" applyAlignment="1" quotePrefix="1">
      <alignment horizontal="right" vertical="center" wrapText="1"/>
      <protection/>
    </xf>
    <xf numFmtId="0" fontId="21" fillId="0" borderId="10" xfId="53" applyFont="1" applyBorder="1" applyAlignment="1">
      <alignment horizontal="right" vertical="center"/>
      <protection/>
    </xf>
    <xf numFmtId="0" fontId="22" fillId="0" borderId="0" xfId="53" applyFont="1" applyAlignment="1">
      <alignment horizontal="left" vertical="center"/>
      <protection/>
    </xf>
    <xf numFmtId="0" fontId="22" fillId="0" borderId="10" xfId="53" applyFont="1" applyBorder="1" applyAlignment="1" quotePrefix="1">
      <alignment horizontal="right" vertical="center" wrapText="1"/>
      <protection/>
    </xf>
    <xf numFmtId="0" fontId="22" fillId="0" borderId="10" xfId="0" applyFont="1" applyBorder="1" applyAlignment="1">
      <alignment vertical="center"/>
    </xf>
    <xf numFmtId="3" fontId="22" fillId="0" borderId="10" xfId="0" applyNumberFormat="1" applyFont="1" applyBorder="1" applyAlignment="1">
      <alignment horizontal="right" vertical="center"/>
    </xf>
    <xf numFmtId="0" fontId="22" fillId="0" borderId="10" xfId="0" applyFont="1" applyBorder="1" applyAlignment="1">
      <alignment horizontal="right" vertical="center"/>
    </xf>
    <xf numFmtId="0" fontId="21" fillId="0" borderId="10" xfId="53" applyFont="1" applyFill="1" applyBorder="1" applyAlignment="1">
      <alignment horizontal="right" vertical="center"/>
      <protection/>
    </xf>
    <xf numFmtId="0" fontId="22" fillId="0" borderId="0" xfId="53" applyFont="1">
      <alignment/>
      <protection/>
    </xf>
    <xf numFmtId="0" fontId="22" fillId="0" borderId="0" xfId="0" applyFont="1" applyAlignment="1">
      <alignment/>
    </xf>
    <xf numFmtId="3" fontId="21" fillId="0" borderId="10" xfId="53" applyNumberFormat="1" applyFont="1" applyBorder="1" applyAlignment="1">
      <alignment horizontal="right" vertical="center" wrapText="1"/>
      <protection/>
    </xf>
    <xf numFmtId="3" fontId="21" fillId="0" borderId="10" xfId="53" applyNumberFormat="1" applyFont="1" applyFill="1" applyBorder="1" applyAlignment="1">
      <alignment horizontal="right" vertical="center" wrapText="1"/>
      <protection/>
    </xf>
    <xf numFmtId="0" fontId="22" fillId="0" borderId="10" xfId="53" applyFont="1" applyFill="1" applyBorder="1" applyAlignment="1">
      <alignment horizontal="right" vertical="center" wrapText="1"/>
      <protection/>
    </xf>
    <xf numFmtId="0" fontId="22" fillId="0" borderId="10" xfId="0" applyFont="1" applyFill="1" applyBorder="1" applyAlignment="1">
      <alignment horizontal="right" vertical="center"/>
    </xf>
    <xf numFmtId="0" fontId="21" fillId="0" borderId="0" xfId="0" applyFont="1" applyBorder="1" applyAlignment="1">
      <alignment horizontal="center" vertical="center" wrapText="1"/>
    </xf>
    <xf numFmtId="0" fontId="22" fillId="0" borderId="0" xfId="0" applyFont="1" applyAlignment="1">
      <alignment/>
    </xf>
    <xf numFmtId="0" fontId="22" fillId="0" borderId="0" xfId="0" applyFont="1" applyBorder="1" applyAlignment="1">
      <alignment/>
    </xf>
    <xf numFmtId="0" fontId="21" fillId="0" borderId="0" xfId="0" applyFont="1" applyBorder="1" applyAlignment="1">
      <alignment horizontal="center" vertical="top" wrapText="1"/>
    </xf>
    <xf numFmtId="0" fontId="21" fillId="0" borderId="21" xfId="0" applyFont="1" applyBorder="1" applyAlignment="1">
      <alignment horizontal="center" vertical="center" wrapText="1"/>
    </xf>
    <xf numFmtId="0" fontId="19" fillId="0" borderId="21"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0" xfId="0" applyFont="1" applyAlignment="1" applyProtection="1">
      <alignment/>
      <protection locked="0"/>
    </xf>
    <xf numFmtId="0" fontId="22" fillId="0" borderId="0" xfId="0" applyFont="1" applyBorder="1" applyAlignment="1">
      <alignment/>
    </xf>
    <xf numFmtId="0" fontId="22" fillId="0" borderId="0"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Border="1" applyAlignment="1">
      <alignment horizontal="center"/>
    </xf>
    <xf numFmtId="0" fontId="43" fillId="0" borderId="0"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21" fillId="0" borderId="10" xfId="0" applyFont="1" applyBorder="1" applyAlignment="1">
      <alignment horizontal="center" vertical="center"/>
    </xf>
    <xf numFmtId="0" fontId="21" fillId="0" borderId="17" xfId="0" applyFont="1" applyBorder="1" applyAlignment="1">
      <alignment horizontal="center" vertical="center" wrapText="1"/>
    </xf>
    <xf numFmtId="0" fontId="22" fillId="41" borderId="41" xfId="0" applyFont="1" applyFill="1" applyBorder="1" applyAlignment="1">
      <alignment horizontal="center" vertical="center" wrapText="1"/>
    </xf>
    <xf numFmtId="0" fontId="22" fillId="41" borderId="23" xfId="0" applyFont="1" applyFill="1" applyBorder="1" applyAlignment="1">
      <alignment horizontal="center" vertical="center" wrapText="1"/>
    </xf>
    <xf numFmtId="0" fontId="22" fillId="41" borderId="4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xf>
    <xf numFmtId="3" fontId="22" fillId="0" borderId="21" xfId="0" applyNumberFormat="1" applyFont="1" applyBorder="1" applyAlignment="1">
      <alignment horizontal="center" vertical="center" wrapText="1"/>
    </xf>
    <xf numFmtId="3" fontId="22" fillId="0" borderId="10" xfId="0" applyNumberFormat="1"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19" fillId="41" borderId="43" xfId="0" applyFont="1" applyFill="1" applyBorder="1" applyAlignment="1">
      <alignment horizontal="center"/>
    </xf>
    <xf numFmtId="0" fontId="19" fillId="41" borderId="44" xfId="0" applyFont="1" applyFill="1" applyBorder="1" applyAlignment="1">
      <alignment horizontal="center" vertical="top" wrapText="1"/>
    </xf>
    <xf numFmtId="0" fontId="19" fillId="41" borderId="45" xfId="0" applyFont="1" applyFill="1" applyBorder="1" applyAlignment="1">
      <alignment horizontal="center" vertical="top" wrapText="1"/>
    </xf>
    <xf numFmtId="0" fontId="44" fillId="0" borderId="46" xfId="0" applyFont="1" applyBorder="1" applyAlignment="1">
      <alignment horizontal="center" vertical="center" wrapText="1"/>
    </xf>
    <xf numFmtId="0" fontId="44" fillId="0" borderId="15" xfId="0" applyFont="1" applyFill="1" applyBorder="1" applyAlignment="1">
      <alignment horizontal="left" vertical="center" wrapText="1"/>
    </xf>
    <xf numFmtId="3" fontId="44" fillId="0" borderId="15" xfId="0" applyNumberFormat="1" applyFont="1" applyBorder="1" applyAlignment="1">
      <alignment horizontal="center" vertical="center" wrapText="1"/>
    </xf>
    <xf numFmtId="0" fontId="19" fillId="0" borderId="15" xfId="0" applyFont="1" applyBorder="1" applyAlignment="1">
      <alignment horizontal="center" vertical="center" wrapText="1"/>
    </xf>
    <xf numFmtId="0" fontId="19" fillId="0" borderId="12" xfId="0" applyFont="1" applyFill="1" applyBorder="1" applyAlignment="1">
      <alignment horizontal="left" vertical="center" wrapText="1"/>
    </xf>
    <xf numFmtId="3" fontId="19" fillId="0" borderId="12" xfId="0" applyNumberFormat="1" applyFont="1" applyBorder="1" applyAlignment="1">
      <alignment horizontal="center" vertical="center" wrapText="1"/>
    </xf>
    <xf numFmtId="0" fontId="44" fillId="0" borderId="47" xfId="0" applyFont="1" applyBorder="1" applyAlignment="1">
      <alignment horizontal="center" vertical="center" wrapText="1"/>
    </xf>
    <xf numFmtId="0" fontId="44" fillId="0" borderId="0" xfId="0" applyFont="1" applyFill="1" applyAlignment="1">
      <alignment horizontal="left" vertical="center"/>
    </xf>
    <xf numFmtId="3" fontId="44" fillId="0" borderId="12" xfId="0" applyNumberFormat="1" applyFont="1" applyBorder="1" applyAlignment="1">
      <alignment horizontal="center" vertical="center" wrapText="1"/>
    </xf>
    <xf numFmtId="0" fontId="19" fillId="0" borderId="46"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48" xfId="0" applyFont="1" applyFill="1" applyBorder="1" applyAlignment="1">
      <alignment horizontal="left" vertical="center" wrapText="1"/>
    </xf>
    <xf numFmtId="0" fontId="19" fillId="0" borderId="22" xfId="0" applyFont="1" applyBorder="1" applyAlignment="1">
      <alignment horizontal="center" vertical="center" wrapText="1"/>
    </xf>
    <xf numFmtId="0" fontId="19" fillId="0" borderId="48" xfId="0" applyFont="1" applyFill="1" applyBorder="1" applyAlignment="1">
      <alignment horizontal="left" vertical="center" wrapText="1"/>
    </xf>
    <xf numFmtId="0" fontId="19" fillId="0" borderId="48" xfId="0" applyFont="1" applyBorder="1" applyAlignment="1">
      <alignment horizontal="left" vertical="center" wrapText="1"/>
    </xf>
    <xf numFmtId="0" fontId="44" fillId="0" borderId="48" xfId="0" applyFont="1" applyBorder="1" applyAlignment="1">
      <alignment horizontal="left" vertical="center" wrapText="1"/>
    </xf>
    <xf numFmtId="0" fontId="22" fillId="0" borderId="0" xfId="0" applyFont="1" applyAlignment="1">
      <alignment horizontal="center"/>
    </xf>
    <xf numFmtId="0" fontId="21" fillId="0" borderId="0" xfId="0" applyFont="1" applyAlignment="1">
      <alignment horizontal="center" vertical="center"/>
    </xf>
    <xf numFmtId="0" fontId="21" fillId="0" borderId="0" xfId="0" applyFont="1" applyAlignment="1" applyProtection="1">
      <alignment horizontal="center" vertical="center"/>
      <protection locked="0"/>
    </xf>
    <xf numFmtId="0" fontId="22" fillId="0" borderId="0" xfId="0" applyFont="1" applyAlignment="1">
      <alignment vertical="center"/>
    </xf>
    <xf numFmtId="0" fontId="21" fillId="0" borderId="0" xfId="0" applyFont="1" applyFill="1" applyBorder="1" applyAlignment="1">
      <alignment horizontal="left" vertical="center" wrapText="1"/>
    </xf>
    <xf numFmtId="0" fontId="21" fillId="0" borderId="0" xfId="0" applyFont="1" applyAlignment="1">
      <alignment/>
    </xf>
    <xf numFmtId="0" fontId="23" fillId="0" borderId="0" xfId="0" applyFont="1" applyBorder="1" applyAlignment="1">
      <alignment vertical="top"/>
    </xf>
    <xf numFmtId="0" fontId="23" fillId="0" borderId="0" xfId="0" applyFont="1" applyAlignment="1">
      <alignment/>
    </xf>
    <xf numFmtId="0" fontId="22" fillId="0" borderId="0" xfId="0" applyFont="1" applyFill="1" applyAlignment="1">
      <alignment/>
    </xf>
    <xf numFmtId="3" fontId="4" fillId="0" borderId="21" xfId="0" applyNumberFormat="1" applyFont="1" applyBorder="1" applyAlignment="1">
      <alignment horizontal="center" vertical="center"/>
    </xf>
    <xf numFmtId="3" fontId="4" fillId="0" borderId="10" xfId="0" applyNumberFormat="1" applyFont="1" applyBorder="1" applyAlignment="1">
      <alignment horizontal="center" vertical="center" wrapText="1"/>
    </xf>
    <xf numFmtId="3" fontId="4" fillId="0" borderId="21" xfId="0" applyNumberFormat="1" applyFont="1" applyBorder="1" applyAlignment="1">
      <alignment horizontal="center" vertical="center" wrapText="1"/>
    </xf>
    <xf numFmtId="3" fontId="0" fillId="0" borderId="21"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22" fillId="0" borderId="10" xfId="53" applyFont="1" applyBorder="1" applyAlignment="1">
      <alignment horizontal="center" vertical="center" wrapText="1"/>
      <protection/>
    </xf>
    <xf numFmtId="3" fontId="0" fillId="0" borderId="21"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21" fillId="0" borderId="21" xfId="0" applyNumberFormat="1" applyFont="1" applyBorder="1" applyAlignment="1">
      <alignment horizontal="center" vertical="center" wrapText="1"/>
    </xf>
    <xf numFmtId="3" fontId="44" fillId="0" borderId="14" xfId="0" applyNumberFormat="1" applyFont="1" applyBorder="1" applyAlignment="1">
      <alignment horizontal="center" vertical="center" wrapText="1"/>
    </xf>
    <xf numFmtId="4" fontId="22" fillId="0" borderId="10" xfId="53" applyNumberFormat="1" applyFont="1" applyBorder="1" applyAlignment="1">
      <alignment horizontal="right" vertical="center"/>
      <protection/>
    </xf>
    <xf numFmtId="4" fontId="21" fillId="0" borderId="10" xfId="53" applyNumberFormat="1" applyFont="1" applyBorder="1" applyAlignment="1">
      <alignment horizontal="right" vertical="center"/>
      <protection/>
    </xf>
    <xf numFmtId="0" fontId="0" fillId="41" borderId="49" xfId="0" applyFont="1" applyFill="1" applyBorder="1" applyAlignment="1">
      <alignment horizontal="center" vertical="center" wrapText="1"/>
    </xf>
    <xf numFmtId="0" fontId="0" fillId="41" borderId="47" xfId="0" applyFont="1" applyFill="1" applyBorder="1" applyAlignment="1">
      <alignment horizontal="center" vertical="center" wrapText="1"/>
    </xf>
    <xf numFmtId="0" fontId="0" fillId="41" borderId="50"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5" fillId="0" borderId="10" xfId="0" applyFont="1" applyBorder="1" applyAlignment="1">
      <alignment horizontal="left" vertical="top"/>
    </xf>
    <xf numFmtId="0" fontId="45" fillId="0" borderId="10" xfId="0" applyFont="1" applyBorder="1" applyAlignment="1">
      <alignment horizontal="left" vertical="top" wrapText="1"/>
    </xf>
    <xf numFmtId="0" fontId="45" fillId="0" borderId="10" xfId="0" applyFont="1" applyBorder="1" applyAlignment="1">
      <alignment/>
    </xf>
    <xf numFmtId="0" fontId="22" fillId="0" borderId="10" xfId="0" applyFont="1" applyBorder="1" applyAlignment="1">
      <alignment horizontal="center" vertical="center"/>
    </xf>
    <xf numFmtId="4" fontId="22" fillId="0" borderId="10" xfId="0" applyNumberFormat="1" applyFont="1" applyBorder="1" applyAlignment="1">
      <alignment horizontal="center" vertical="center"/>
    </xf>
    <xf numFmtId="0" fontId="46" fillId="0" borderId="10" xfId="0" applyFont="1" applyBorder="1" applyAlignment="1">
      <alignment horizontal="center" vertical="center"/>
    </xf>
    <xf numFmtId="0" fontId="46" fillId="0" borderId="0" xfId="0" applyFont="1" applyAlignment="1">
      <alignment horizontal="center" vertical="center"/>
    </xf>
    <xf numFmtId="4" fontId="46" fillId="0" borderId="10" xfId="0" applyNumberFormat="1" applyFont="1" applyBorder="1" applyAlignment="1">
      <alignment horizontal="center" vertical="center"/>
    </xf>
    <xf numFmtId="2" fontId="46" fillId="0" borderId="10" xfId="0" applyNumberFormat="1" applyFont="1" applyBorder="1" applyAlignment="1">
      <alignment horizontal="center" vertical="center"/>
    </xf>
    <xf numFmtId="3" fontId="0" fillId="0" borderId="10" xfId="52" applyNumberFormat="1" applyFont="1" applyFill="1" applyBorder="1" applyAlignment="1">
      <alignment horizontal="center" vertical="center" wrapText="1"/>
      <protection/>
    </xf>
    <xf numFmtId="10" fontId="0" fillId="0" borderId="10" xfId="52" applyNumberFormat="1" applyFont="1" applyFill="1" applyBorder="1" applyAlignment="1">
      <alignment horizontal="center" vertical="center" wrapText="1"/>
      <protection/>
    </xf>
    <xf numFmtId="3" fontId="4" fillId="0" borderId="10" xfId="52" applyNumberFormat="1" applyFont="1" applyFill="1" applyBorder="1" applyAlignment="1">
      <alignment horizontal="center" vertical="center" wrapText="1"/>
      <protection/>
    </xf>
    <xf numFmtId="1" fontId="0" fillId="0" borderId="0" xfId="53" applyNumberFormat="1" applyFont="1">
      <alignment/>
      <protection/>
    </xf>
    <xf numFmtId="1" fontId="0" fillId="0" borderId="0" xfId="53" applyNumberFormat="1" applyFont="1">
      <alignment/>
      <protection/>
    </xf>
    <xf numFmtId="1" fontId="0" fillId="0" borderId="0" xfId="53" applyNumberFormat="1" applyFont="1">
      <alignment/>
      <protection/>
    </xf>
    <xf numFmtId="1" fontId="0" fillId="0" borderId="0" xfId="0" applyNumberFormat="1" applyFont="1" applyAlignment="1">
      <alignment/>
    </xf>
    <xf numFmtId="1" fontId="0" fillId="0" borderId="0" xfId="53" applyNumberFormat="1" applyFont="1" applyAlignment="1">
      <alignment horizontal="justify" vertical="center"/>
      <protection/>
    </xf>
    <xf numFmtId="1" fontId="0" fillId="0" borderId="0" xfId="53" applyNumberFormat="1" applyFont="1">
      <alignment/>
      <protection/>
    </xf>
    <xf numFmtId="1" fontId="0" fillId="0" borderId="0" xfId="53" applyNumberFormat="1" applyFont="1" applyAlignment="1">
      <alignment horizontal="left" vertical="center"/>
      <protection/>
    </xf>
    <xf numFmtId="1" fontId="0" fillId="0" borderId="0" xfId="53" applyNumberFormat="1" applyFont="1" applyAlignment="1">
      <alignment horizontal="left" vertical="center" wrapText="1"/>
      <protection/>
    </xf>
    <xf numFmtId="1" fontId="0" fillId="0" borderId="0" xfId="53" applyNumberFormat="1" applyFont="1" applyAlignment="1">
      <alignment horizontal="left" vertical="center"/>
      <protection/>
    </xf>
    <xf numFmtId="1" fontId="0" fillId="0" borderId="0" xfId="53" applyNumberFormat="1" applyFont="1" applyFill="1" applyAlignment="1">
      <alignment horizontal="left" vertical="center"/>
      <protection/>
    </xf>
    <xf numFmtId="1" fontId="0" fillId="0" borderId="0" xfId="53" applyNumberFormat="1" applyFont="1" applyAlignment="1">
      <alignment horizontal="left" vertical="center"/>
      <protection/>
    </xf>
    <xf numFmtId="1" fontId="0" fillId="0" borderId="0" xfId="0" applyNumberFormat="1" applyFont="1" applyAlignment="1">
      <alignment/>
    </xf>
    <xf numFmtId="0" fontId="21" fillId="33" borderId="40" xfId="53" applyFont="1" applyFill="1" applyBorder="1" applyAlignment="1">
      <alignment horizontal="center" vertical="center" wrapText="1"/>
      <protection/>
    </xf>
    <xf numFmtId="0" fontId="21" fillId="33" borderId="51" xfId="53" applyFont="1" applyFill="1" applyBorder="1" applyAlignment="1">
      <alignment horizontal="center" vertical="center" wrapText="1"/>
      <protection/>
    </xf>
    <xf numFmtId="0" fontId="21" fillId="33" borderId="24" xfId="53" applyFont="1" applyFill="1" applyBorder="1" applyAlignment="1">
      <alignment horizontal="center" vertical="center" wrapText="1"/>
      <protection/>
    </xf>
    <xf numFmtId="0" fontId="22" fillId="0" borderId="10" xfId="53" applyFont="1" applyBorder="1" applyAlignment="1">
      <alignment horizontal="center" vertical="center" wrapText="1"/>
      <protection/>
    </xf>
    <xf numFmtId="0" fontId="21" fillId="33" borderId="40" xfId="53" applyFont="1" applyFill="1" applyBorder="1" applyAlignment="1">
      <alignment horizontal="center" vertical="center"/>
      <protection/>
    </xf>
    <xf numFmtId="0" fontId="21" fillId="33" borderId="51" xfId="53" applyFont="1" applyFill="1" applyBorder="1" applyAlignment="1">
      <alignment horizontal="center" vertical="center"/>
      <protection/>
    </xf>
    <xf numFmtId="0" fontId="21" fillId="33" borderId="24" xfId="53" applyFont="1" applyFill="1" applyBorder="1" applyAlignment="1">
      <alignment horizontal="center" vertical="center"/>
      <protection/>
    </xf>
    <xf numFmtId="0" fontId="4" fillId="0" borderId="0" xfId="53" applyFont="1" applyFill="1" applyBorder="1" applyAlignment="1">
      <alignment horizontal="left" vertical="center" wrapText="1"/>
      <protection/>
    </xf>
    <xf numFmtId="0" fontId="21" fillId="0" borderId="52" xfId="53" applyFont="1" applyBorder="1" applyAlignment="1">
      <alignment horizontal="center" vertical="center" wrapText="1"/>
      <protection/>
    </xf>
    <xf numFmtId="0" fontId="21" fillId="0" borderId="53" xfId="53" applyFont="1" applyBorder="1" applyAlignment="1">
      <alignment horizontal="center" vertical="center" wrapText="1"/>
      <protection/>
    </xf>
    <xf numFmtId="0" fontId="21" fillId="0" borderId="54" xfId="53" applyFont="1" applyBorder="1" applyAlignment="1">
      <alignment horizontal="center" vertical="center" wrapText="1"/>
      <protection/>
    </xf>
    <xf numFmtId="0" fontId="21" fillId="0" borderId="55" xfId="53" applyFont="1" applyBorder="1" applyAlignment="1">
      <alignment horizontal="center" vertical="center" wrapText="1"/>
      <protection/>
    </xf>
    <xf numFmtId="0" fontId="11" fillId="0" borderId="0" xfId="53" applyNumberFormat="1" applyFont="1" applyFill="1" applyBorder="1" applyAlignment="1">
      <alignment horizontal="justify" vertical="center" wrapText="1"/>
      <protection/>
    </xf>
    <xf numFmtId="0" fontId="14" fillId="0" borderId="0" xfId="53" applyNumberFormat="1" applyFont="1" applyFill="1" applyBorder="1" applyAlignment="1">
      <alignment horizontal="justify" vertical="center" wrapText="1"/>
      <protection/>
    </xf>
    <xf numFmtId="0" fontId="21" fillId="33" borderId="21" xfId="53" applyFont="1" applyFill="1" applyBorder="1" applyAlignment="1">
      <alignment horizontal="center" vertical="center" wrapText="1"/>
      <protection/>
    </xf>
    <xf numFmtId="0" fontId="21" fillId="0" borderId="56" xfId="53" applyFont="1" applyBorder="1" applyAlignment="1">
      <alignment horizontal="center" vertical="center"/>
      <protection/>
    </xf>
    <xf numFmtId="0" fontId="21" fillId="0" borderId="21" xfId="53" applyFont="1" applyBorder="1" applyAlignment="1">
      <alignment horizontal="center" vertical="center"/>
      <protection/>
    </xf>
    <xf numFmtId="0" fontId="21" fillId="0" borderId="56" xfId="53" applyFont="1" applyBorder="1" applyAlignment="1">
      <alignment horizontal="center" vertical="center" wrapText="1"/>
      <protection/>
    </xf>
    <xf numFmtId="0" fontId="21" fillId="0" borderId="21" xfId="53" applyFont="1" applyBorder="1" applyAlignment="1">
      <alignment horizontal="center" vertical="center" wrapText="1"/>
      <protection/>
    </xf>
    <xf numFmtId="0" fontId="21" fillId="0" borderId="57" xfId="53" applyFont="1" applyBorder="1" applyAlignment="1">
      <alignment horizontal="center" vertical="center"/>
      <protection/>
    </xf>
    <xf numFmtId="0" fontId="21" fillId="0" borderId="58" xfId="53" applyFont="1" applyBorder="1" applyAlignment="1">
      <alignment horizontal="center" vertical="center"/>
      <protection/>
    </xf>
    <xf numFmtId="0" fontId="21" fillId="0" borderId="59" xfId="53" applyFont="1" applyBorder="1" applyAlignment="1">
      <alignment horizontal="center" vertical="center"/>
      <protection/>
    </xf>
    <xf numFmtId="0" fontId="7" fillId="0" borderId="10" xfId="53" applyFont="1" applyBorder="1" applyAlignment="1">
      <alignment horizontal="center" vertical="center"/>
      <protection/>
    </xf>
    <xf numFmtId="0" fontId="0" fillId="0" borderId="10" xfId="53" applyFont="1" applyBorder="1" applyAlignment="1">
      <alignment horizontal="center"/>
      <protection/>
    </xf>
    <xf numFmtId="0" fontId="0" fillId="0" borderId="10" xfId="53" applyFont="1" applyBorder="1" applyAlignment="1">
      <alignment horizontal="center"/>
      <protection/>
    </xf>
    <xf numFmtId="0" fontId="9" fillId="0" borderId="0" xfId="53" applyFont="1" applyBorder="1" applyAlignment="1">
      <alignment horizontal="left" vertical="top" wrapText="1"/>
      <protection/>
    </xf>
    <xf numFmtId="0" fontId="9" fillId="0" borderId="0" xfId="53" applyFont="1" applyBorder="1" applyAlignment="1">
      <alignment horizontal="left" vertical="top"/>
      <protection/>
    </xf>
    <xf numFmtId="0" fontId="5" fillId="0" borderId="0" xfId="53" applyFont="1" applyAlignment="1">
      <alignment horizontal="left" wrapText="1"/>
      <protection/>
    </xf>
    <xf numFmtId="0" fontId="5" fillId="0" borderId="0" xfId="53" applyFont="1" applyAlignment="1">
      <alignment horizontal="left"/>
      <protection/>
    </xf>
    <xf numFmtId="0" fontId="7" fillId="0" borderId="10"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22" fillId="0" borderId="10" xfId="53" applyFont="1" applyBorder="1" applyAlignment="1">
      <alignment horizontal="center" vertical="center"/>
      <protection/>
    </xf>
    <xf numFmtId="0" fontId="22" fillId="0" borderId="23" xfId="53" applyFont="1" applyBorder="1" applyAlignment="1">
      <alignment horizontal="center" vertical="center"/>
      <protection/>
    </xf>
    <xf numFmtId="0" fontId="22" fillId="0" borderId="22" xfId="53" applyFont="1" applyBorder="1" applyAlignment="1">
      <alignment horizontal="center" vertical="center"/>
      <protection/>
    </xf>
    <xf numFmtId="0" fontId="22" fillId="0" borderId="21" xfId="53" applyFont="1" applyBorder="1" applyAlignment="1">
      <alignment horizontal="center" vertical="center"/>
      <protection/>
    </xf>
    <xf numFmtId="0" fontId="9" fillId="0" borderId="0" xfId="53" applyFont="1" applyFill="1" applyBorder="1" applyAlignment="1">
      <alignment horizontal="left" vertical="center" wrapText="1"/>
      <protection/>
    </xf>
    <xf numFmtId="0" fontId="13" fillId="0" borderId="0" xfId="53" applyFont="1" applyFill="1" applyBorder="1" applyAlignment="1">
      <alignment horizontal="justify" vertical="center" wrapText="1"/>
      <protection/>
    </xf>
    <xf numFmtId="0" fontId="4" fillId="0" borderId="0" xfId="53" applyFont="1" applyFill="1" applyBorder="1" applyAlignment="1">
      <alignment horizontal="justify" vertical="center" wrapText="1"/>
      <protection/>
    </xf>
    <xf numFmtId="0" fontId="10" fillId="0" borderId="0" xfId="0" applyFont="1" applyAlignment="1">
      <alignment horizontal="justify" vertical="center" wrapText="1"/>
    </xf>
    <xf numFmtId="0" fontId="14" fillId="0" borderId="0" xfId="53" applyFont="1" applyFill="1" applyBorder="1" applyAlignment="1">
      <alignment horizontal="justify" vertical="center" wrapText="1"/>
      <protection/>
    </xf>
    <xf numFmtId="0" fontId="22" fillId="0" borderId="0" xfId="0" applyFont="1" applyAlignment="1">
      <alignment horizontal="left"/>
    </xf>
    <xf numFmtId="0" fontId="22" fillId="0" borderId="51" xfId="0" applyFont="1" applyBorder="1" applyAlignment="1">
      <alignment vertical="center"/>
    </xf>
    <xf numFmtId="0" fontId="22" fillId="0" borderId="24" xfId="0" applyFont="1" applyBorder="1" applyAlignment="1">
      <alignment vertical="center"/>
    </xf>
    <xf numFmtId="0" fontId="22" fillId="0" borderId="40" xfId="0" applyFont="1" applyBorder="1" applyAlignment="1">
      <alignment horizontal="center"/>
    </xf>
    <xf numFmtId="0" fontId="22" fillId="0" borderId="51" xfId="0" applyFont="1" applyBorder="1" applyAlignment="1">
      <alignment horizontal="center"/>
    </xf>
    <xf numFmtId="0" fontId="22" fillId="0" borderId="24" xfId="0" applyFont="1" applyBorder="1" applyAlignment="1">
      <alignment horizontal="center"/>
    </xf>
    <xf numFmtId="0" fontId="21" fillId="0" borderId="40" xfId="53" applyFont="1" applyBorder="1" applyAlignment="1">
      <alignment horizontal="center"/>
      <protection/>
    </xf>
    <xf numFmtId="0" fontId="21" fillId="0" borderId="24" xfId="53" applyFont="1" applyBorder="1" applyAlignment="1">
      <alignment horizontal="center"/>
      <protection/>
    </xf>
    <xf numFmtId="0" fontId="22" fillId="0" borderId="40" xfId="53" applyFont="1" applyBorder="1" applyAlignment="1">
      <alignment horizontal="left"/>
      <protection/>
    </xf>
    <xf numFmtId="0" fontId="22" fillId="0" borderId="51" xfId="53" applyFont="1" applyBorder="1" applyAlignment="1">
      <alignment horizontal="left"/>
      <protection/>
    </xf>
    <xf numFmtId="0" fontId="22" fillId="0" borderId="24" xfId="53" applyFont="1" applyBorder="1" applyAlignment="1">
      <alignment horizontal="left"/>
      <protection/>
    </xf>
    <xf numFmtId="0" fontId="22" fillId="0" borderId="40" xfId="53" applyFont="1" applyFill="1" applyBorder="1" applyAlignment="1">
      <alignment horizontal="left" vertical="center" wrapText="1"/>
      <protection/>
    </xf>
    <xf numFmtId="0" fontId="22" fillId="0" borderId="51" xfId="53" applyFont="1" applyFill="1" applyBorder="1" applyAlignment="1">
      <alignment horizontal="left" vertical="center" wrapText="1"/>
      <protection/>
    </xf>
    <xf numFmtId="0" fontId="22" fillId="0" borderId="24" xfId="53" applyFont="1" applyFill="1" applyBorder="1" applyAlignment="1">
      <alignment horizontal="left" vertical="center" wrapText="1"/>
      <protection/>
    </xf>
    <xf numFmtId="0" fontId="22" fillId="0" borderId="23" xfId="53" applyFont="1" applyBorder="1" applyAlignment="1">
      <alignment horizontal="center" vertical="center" wrapText="1"/>
      <protection/>
    </xf>
    <xf numFmtId="0" fontId="22" fillId="0" borderId="22" xfId="53" applyFont="1" applyBorder="1" applyAlignment="1">
      <alignment horizontal="center" vertical="center" wrapText="1"/>
      <protection/>
    </xf>
    <xf numFmtId="0" fontId="22" fillId="0" borderId="21" xfId="53" applyFont="1" applyBorder="1" applyAlignment="1">
      <alignment horizontal="center" vertical="center" wrapText="1"/>
      <protection/>
    </xf>
    <xf numFmtId="0" fontId="22" fillId="0" borderId="22" xfId="0" applyFont="1" applyBorder="1" applyAlignment="1">
      <alignment horizontal="center" vertical="center"/>
    </xf>
    <xf numFmtId="0" fontId="22" fillId="0" borderId="21" xfId="0" applyFont="1" applyBorder="1" applyAlignment="1">
      <alignment horizontal="center" vertical="center"/>
    </xf>
    <xf numFmtId="0" fontId="21" fillId="0" borderId="0" xfId="0" applyFont="1" applyBorder="1" applyAlignment="1">
      <alignment horizontal="left" vertical="center" wrapText="1"/>
    </xf>
    <xf numFmtId="0" fontId="43" fillId="0" borderId="0" xfId="0" applyFont="1" applyBorder="1" applyAlignment="1">
      <alignment horizontal="left" vertical="top"/>
    </xf>
    <xf numFmtId="49" fontId="21" fillId="0" borderId="60" xfId="0" applyNumberFormat="1" applyFont="1" applyBorder="1" applyAlignment="1">
      <alignment horizontal="center" vertical="center" wrapText="1"/>
    </xf>
    <xf numFmtId="49" fontId="21" fillId="0" borderId="61" xfId="0" applyNumberFormat="1" applyFont="1" applyBorder="1" applyAlignment="1">
      <alignment horizontal="center" vertical="center" wrapText="1"/>
    </xf>
    <xf numFmtId="0" fontId="21" fillId="0" borderId="57"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horizontal="center"/>
    </xf>
    <xf numFmtId="3" fontId="21" fillId="0" borderId="21"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0" fontId="21" fillId="41" borderId="40" xfId="0" applyFont="1" applyFill="1" applyBorder="1" applyAlignment="1">
      <alignment horizontal="center" vertical="center" wrapText="1"/>
    </xf>
    <xf numFmtId="0" fontId="21" fillId="41" borderId="51" xfId="0" applyFont="1" applyFill="1" applyBorder="1" applyAlignment="1">
      <alignment horizontal="center" vertical="center" wrapText="1"/>
    </xf>
    <xf numFmtId="0" fontId="21" fillId="41" borderId="24" xfId="0" applyFont="1" applyFill="1" applyBorder="1" applyAlignment="1">
      <alignment horizontal="center" vertical="center" wrapText="1"/>
    </xf>
    <xf numFmtId="0" fontId="22" fillId="0" borderId="0" xfId="0" applyFont="1" applyBorder="1" applyAlignment="1">
      <alignment horizontal="left" wrapText="1"/>
    </xf>
    <xf numFmtId="0" fontId="22" fillId="0" borderId="0" xfId="0" applyFont="1" applyBorder="1" applyAlignment="1">
      <alignment wrapText="1"/>
    </xf>
    <xf numFmtId="3" fontId="22" fillId="0" borderId="21" xfId="0" applyNumberFormat="1" applyFont="1" applyBorder="1" applyAlignment="1">
      <alignment horizontal="center" vertical="center" wrapText="1"/>
    </xf>
    <xf numFmtId="3" fontId="22" fillId="0" borderId="10" xfId="0" applyNumberFormat="1" applyFont="1" applyBorder="1" applyAlignment="1">
      <alignment horizontal="center" vertical="center" wrapText="1"/>
    </xf>
    <xf numFmtId="0" fontId="22" fillId="0" borderId="10" xfId="0" applyFont="1" applyBorder="1" applyAlignment="1">
      <alignment horizontal="center"/>
    </xf>
    <xf numFmtId="3" fontId="22" fillId="0" borderId="23" xfId="0" applyNumberFormat="1" applyFont="1" applyBorder="1" applyAlignment="1">
      <alignment horizontal="center" vertical="center" wrapText="1"/>
    </xf>
    <xf numFmtId="3" fontId="21" fillId="0" borderId="23" xfId="0" applyNumberFormat="1" applyFont="1" applyBorder="1" applyAlignment="1">
      <alignment horizontal="center" vertical="center" wrapText="1"/>
    </xf>
    <xf numFmtId="0" fontId="19" fillId="0" borderId="0" xfId="0" applyFont="1" applyFill="1" applyBorder="1" applyAlignment="1">
      <alignment horizontal="justify" vertical="center" wrapText="1"/>
    </xf>
    <xf numFmtId="0" fontId="21" fillId="0" borderId="17" xfId="0" applyFont="1" applyBorder="1" applyAlignment="1">
      <alignment horizontal="center" vertical="center" wrapText="1"/>
    </xf>
    <xf numFmtId="0" fontId="44" fillId="41" borderId="40" xfId="0" applyFont="1" applyFill="1" applyBorder="1" applyAlignment="1">
      <alignment horizontal="center" vertical="center" wrapText="1"/>
    </xf>
    <xf numFmtId="0" fontId="44" fillId="41" borderId="51"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9" fillId="0" borderId="10" xfId="0" applyFont="1" applyFill="1" applyBorder="1" applyAlignment="1">
      <alignment vertical="top" wrapText="1"/>
    </xf>
    <xf numFmtId="0" fontId="44" fillId="0" borderId="46" xfId="0" applyFont="1" applyFill="1" applyBorder="1" applyAlignment="1">
      <alignment horizontal="center" vertical="center" wrapText="1"/>
    </xf>
    <xf numFmtId="0" fontId="44" fillId="0" borderId="47" xfId="0" applyFont="1" applyFill="1" applyBorder="1" applyAlignment="1">
      <alignment horizontal="center" vertical="center" wrapText="1"/>
    </xf>
    <xf numFmtId="0" fontId="44" fillId="0" borderId="63" xfId="0" applyFont="1" applyFill="1" applyBorder="1" applyAlignment="1">
      <alignment horizontal="center" vertical="center" wrapText="1"/>
    </xf>
    <xf numFmtId="0" fontId="44" fillId="0" borderId="64" xfId="0" applyFont="1" applyFill="1" applyBorder="1" applyAlignment="1">
      <alignment horizontal="center" vertical="center" wrapText="1"/>
    </xf>
    <xf numFmtId="0" fontId="44" fillId="0" borderId="65" xfId="0" applyFont="1" applyBorder="1" applyAlignment="1">
      <alignment horizontal="center" vertical="center" wrapText="1"/>
    </xf>
    <xf numFmtId="0" fontId="44" fillId="0" borderId="12" xfId="0" applyFont="1" applyBorder="1" applyAlignment="1">
      <alignment horizontal="center" vertical="center" wrapText="1"/>
    </xf>
    <xf numFmtId="0" fontId="43" fillId="0" borderId="0" xfId="0" applyFont="1" applyBorder="1" applyAlignment="1">
      <alignment vertical="top"/>
    </xf>
    <xf numFmtId="0" fontId="19" fillId="0" borderId="23" xfId="0" applyFont="1" applyFill="1" applyBorder="1" applyAlignment="1">
      <alignment vertical="top" wrapText="1"/>
    </xf>
    <xf numFmtId="0" fontId="44" fillId="0" borderId="65" xfId="0" applyFont="1" applyBorder="1" applyAlignment="1">
      <alignment horizontal="center" wrapText="1"/>
    </xf>
    <xf numFmtId="0" fontId="44" fillId="0" borderId="66" xfId="0" applyFont="1" applyBorder="1" applyAlignment="1">
      <alignment horizontal="center" wrapText="1"/>
    </xf>
    <xf numFmtId="0" fontId="21" fillId="0" borderId="0" xfId="0" applyFont="1" applyBorder="1" applyAlignment="1">
      <alignment horizontal="center" vertical="center"/>
    </xf>
    <xf numFmtId="0" fontId="22" fillId="0" borderId="0" xfId="0" applyFont="1" applyFill="1" applyBorder="1" applyAlignment="1">
      <alignment horizontal="justify" vertical="center" wrapText="1"/>
    </xf>
    <xf numFmtId="0" fontId="22" fillId="0" borderId="0" xfId="0" applyFont="1" applyFill="1" applyBorder="1" applyAlignment="1">
      <alignment/>
    </xf>
    <xf numFmtId="0" fontId="21" fillId="0" borderId="0" xfId="0" applyFont="1" applyBorder="1" applyAlignment="1">
      <alignment horizontal="left" wrapText="1"/>
    </xf>
    <xf numFmtId="0" fontId="22" fillId="0" borderId="16" xfId="0" applyFont="1" applyBorder="1" applyAlignment="1">
      <alignment horizontal="center" vertical="center" wrapText="1"/>
    </xf>
    <xf numFmtId="0" fontId="22" fillId="0" borderId="67" xfId="0" applyFont="1" applyBorder="1" applyAlignment="1">
      <alignment horizontal="center" vertical="center"/>
    </xf>
    <xf numFmtId="0" fontId="22" fillId="0" borderId="48" xfId="0" applyFont="1" applyBorder="1" applyAlignment="1">
      <alignment horizontal="center" vertical="center"/>
    </xf>
    <xf numFmtId="0" fontId="21" fillId="0" borderId="68" xfId="0" applyFont="1" applyBorder="1" applyAlignment="1">
      <alignment horizontal="center" vertical="center"/>
    </xf>
    <xf numFmtId="0" fontId="5" fillId="0" borderId="0" xfId="0" applyFont="1" applyBorder="1" applyAlignment="1">
      <alignment horizontal="left" wrapText="1"/>
    </xf>
    <xf numFmtId="0" fontId="0" fillId="0" borderId="40" xfId="0" applyBorder="1" applyAlignment="1">
      <alignment horizontal="center" wrapText="1"/>
    </xf>
    <xf numFmtId="0" fontId="0" fillId="0" borderId="51" xfId="0" applyFont="1" applyBorder="1" applyAlignment="1">
      <alignment horizontal="center"/>
    </xf>
    <xf numFmtId="0" fontId="0" fillId="0" borderId="24" xfId="0" applyFont="1" applyBorder="1" applyAlignment="1">
      <alignment horizontal="center"/>
    </xf>
    <xf numFmtId="0" fontId="0" fillId="0" borderId="40" xfId="0" applyBorder="1" applyAlignment="1">
      <alignment horizontal="center"/>
    </xf>
    <xf numFmtId="0" fontId="0" fillId="0" borderId="0" xfId="0" applyFont="1" applyBorder="1" applyAlignment="1">
      <alignment horizontal="left"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9" fillId="0" borderId="0" xfId="0" applyFont="1" applyBorder="1" applyAlignment="1">
      <alignment horizontal="left" vertical="top"/>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10" xfId="0" applyFont="1" applyBorder="1" applyAlignment="1">
      <alignment horizontal="center" vertical="center"/>
    </xf>
    <xf numFmtId="0" fontId="0" fillId="0" borderId="0" xfId="0" applyFont="1" applyFill="1" applyBorder="1" applyAlignment="1">
      <alignment horizontal="justify"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Font="1" applyFill="1" applyBorder="1" applyAlignment="1">
      <alignment horizontal="justify" vertical="center"/>
    </xf>
    <xf numFmtId="0" fontId="0" fillId="0" borderId="10" xfId="0" applyFont="1" applyBorder="1" applyAlignment="1">
      <alignment horizontal="center"/>
    </xf>
    <xf numFmtId="0" fontId="4" fillId="0" borderId="70"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wrapText="1"/>
    </xf>
    <xf numFmtId="0" fontId="7" fillId="0" borderId="0" xfId="0" applyFont="1" applyBorder="1" applyAlignment="1">
      <alignment horizontal="center" vertical="center"/>
    </xf>
    <xf numFmtId="0" fontId="0" fillId="0" borderId="12" xfId="0" applyBorder="1" applyAlignment="1">
      <alignment horizontal="center"/>
    </xf>
    <xf numFmtId="0" fontId="0" fillId="0" borderId="12" xfId="0" applyFont="1" applyBorder="1" applyAlignment="1">
      <alignment horizontal="center"/>
    </xf>
    <xf numFmtId="0" fontId="4" fillId="0" borderId="12" xfId="0" applyFont="1" applyBorder="1" applyAlignment="1">
      <alignment horizontal="center" vertical="top" wrapText="1"/>
    </xf>
    <xf numFmtId="0" fontId="0" fillId="0" borderId="0" xfId="0" applyFont="1" applyAlignment="1">
      <alignment horizontal="justify" vertical="center" wrapText="1"/>
    </xf>
    <xf numFmtId="0" fontId="4" fillId="41" borderId="10"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Border="1" applyAlignment="1">
      <alignment horizontal="center" vertical="center" wrapText="1"/>
    </xf>
    <xf numFmtId="0" fontId="10" fillId="0" borderId="0" xfId="0" applyFont="1" applyFill="1" applyBorder="1" applyAlignment="1">
      <alignment horizontal="justify" vertical="center" wrapText="1"/>
    </xf>
    <xf numFmtId="0" fontId="13" fillId="0" borderId="0" xfId="0" applyFont="1" applyFill="1" applyBorder="1" applyAlignment="1">
      <alignment horizontal="justify" vertical="center"/>
    </xf>
    <xf numFmtId="0" fontId="9" fillId="0" borderId="0" xfId="0" applyFont="1" applyBorder="1" applyAlignment="1">
      <alignment horizontal="left" vertical="top" wrapText="1"/>
    </xf>
    <xf numFmtId="0" fontId="5" fillId="0" borderId="0" xfId="0" applyFont="1" applyBorder="1" applyAlignment="1">
      <alignment horizontal="left" vertical="center" wrapText="1"/>
    </xf>
    <xf numFmtId="0" fontId="7" fillId="0" borderId="68" xfId="0" applyFont="1" applyBorder="1" applyAlignment="1">
      <alignment horizontal="center" vertical="center" wrapText="1"/>
    </xf>
    <xf numFmtId="0" fontId="12" fillId="0" borderId="12" xfId="0" applyFont="1" applyBorder="1" applyAlignment="1">
      <alignment horizontal="center" wrapText="1"/>
    </xf>
    <xf numFmtId="0" fontId="12" fillId="0" borderId="12" xfId="0" applyFont="1" applyBorder="1" applyAlignment="1">
      <alignment horizontal="center"/>
    </xf>
    <xf numFmtId="0" fontId="7" fillId="0" borderId="68" xfId="0" applyFont="1" applyBorder="1" applyAlignment="1">
      <alignment horizontal="center" vertical="center"/>
    </xf>
    <xf numFmtId="0" fontId="0" fillId="0" borderId="48" xfId="0" applyBorder="1" applyAlignment="1">
      <alignment horizontal="center"/>
    </xf>
    <xf numFmtId="0" fontId="0" fillId="0" borderId="48" xfId="0" applyFont="1" applyBorder="1" applyAlignment="1">
      <alignment horizontal="center"/>
    </xf>
    <xf numFmtId="0" fontId="4" fillId="0" borderId="66" xfId="0" applyFont="1" applyBorder="1" applyAlignment="1">
      <alignment horizontal="center" vertical="center" wrapText="1"/>
    </xf>
    <xf numFmtId="0" fontId="8" fillId="0" borderId="0" xfId="0" applyFont="1" applyAlignment="1">
      <alignment horizontal="justify" wrapText="1"/>
    </xf>
    <xf numFmtId="0" fontId="0" fillId="0" borderId="0" xfId="0" applyFont="1" applyAlignment="1">
      <alignment horizontal="justify" wrapText="1"/>
    </xf>
    <xf numFmtId="0" fontId="0" fillId="0" borderId="0" xfId="0" applyFont="1" applyFill="1" applyAlignment="1">
      <alignment horizontal="justify" wrapText="1"/>
    </xf>
    <xf numFmtId="0" fontId="0" fillId="0" borderId="40" xfId="0" applyFont="1" applyBorder="1" applyAlignment="1">
      <alignment horizontal="center"/>
    </xf>
    <xf numFmtId="0" fontId="0" fillId="0" borderId="51" xfId="0" applyFont="1" applyBorder="1" applyAlignment="1">
      <alignment horizontal="center"/>
    </xf>
    <xf numFmtId="0" fontId="0" fillId="0" borderId="24" xfId="0" applyFont="1" applyBorder="1" applyAlignment="1">
      <alignment horizontal="center"/>
    </xf>
    <xf numFmtId="0" fontId="0" fillId="0" borderId="0" xfId="0" applyFont="1" applyBorder="1" applyAlignment="1">
      <alignment horizontal="left"/>
    </xf>
    <xf numFmtId="0" fontId="5" fillId="0" borderId="0" xfId="0" applyNumberFormat="1" applyFont="1" applyAlignment="1">
      <alignment horizontal="left" vertical="center" wrapText="1"/>
    </xf>
    <xf numFmtId="0" fontId="0" fillId="0" borderId="10" xfId="0" applyBorder="1" applyAlignment="1">
      <alignment horizontal="center"/>
    </xf>
    <xf numFmtId="0" fontId="0" fillId="0" borderId="10" xfId="0" applyFont="1" applyBorder="1" applyAlignment="1">
      <alignment horizontal="center"/>
    </xf>
    <xf numFmtId="0" fontId="8" fillId="0" borderId="0" xfId="0" applyNumberFormat="1" applyFont="1" applyAlignment="1">
      <alignment horizontal="justify" wrapText="1"/>
    </xf>
    <xf numFmtId="0" fontId="9" fillId="0" borderId="0" xfId="0" applyNumberFormat="1" applyFont="1" applyAlignment="1">
      <alignment horizontal="justify" wrapText="1"/>
    </xf>
    <xf numFmtId="0" fontId="4" fillId="0" borderId="0" xfId="0" applyNumberFormat="1" applyFont="1" applyAlignment="1">
      <alignment horizontal="justify" vertical="justify" wrapText="1"/>
    </xf>
    <xf numFmtId="0" fontId="8" fillId="0" borderId="0" xfId="0" applyNumberFormat="1" applyFont="1" applyAlignment="1">
      <alignment horizontal="justify" vertical="justify" wrapText="1"/>
    </xf>
    <xf numFmtId="0" fontId="7" fillId="0" borderId="10" xfId="0" applyFont="1" applyFill="1" applyBorder="1" applyAlignment="1">
      <alignment horizontal="center" vertical="center" wrapText="1"/>
    </xf>
    <xf numFmtId="0" fontId="8" fillId="0" borderId="0" xfId="0" applyFont="1" applyFill="1" applyAlignment="1">
      <alignment horizontal="justify" vertical="center" wrapText="1"/>
    </xf>
    <xf numFmtId="0" fontId="0" fillId="0" borderId="0" xfId="0" applyFont="1" applyFill="1" applyAlignment="1">
      <alignment horizontal="justify" vertical="center" wrapText="1"/>
    </xf>
    <xf numFmtId="0" fontId="19" fillId="0" borderId="40" xfId="0" applyFont="1" applyBorder="1" applyAlignment="1">
      <alignment horizontal="left"/>
    </xf>
    <xf numFmtId="0" fontId="19" fillId="0" borderId="51" xfId="0" applyFont="1" applyBorder="1" applyAlignment="1">
      <alignment horizontal="left"/>
    </xf>
    <xf numFmtId="0" fontId="19" fillId="0" borderId="24" xfId="0" applyFont="1" applyBorder="1" applyAlignment="1">
      <alignment horizontal="left"/>
    </xf>
    <xf numFmtId="0" fontId="0" fillId="0" borderId="0" xfId="0" applyBorder="1" applyAlignment="1">
      <alignment wrapText="1"/>
    </xf>
    <xf numFmtId="0" fontId="4" fillId="33" borderId="10" xfId="0" applyFont="1" applyFill="1" applyBorder="1" applyAlignment="1">
      <alignment horizontal="left" wrapText="1"/>
    </xf>
    <xf numFmtId="0" fontId="24" fillId="33" borderId="1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center" vertical="top"/>
    </xf>
    <xf numFmtId="0" fontId="0" fillId="0" borderId="0" xfId="0" applyFont="1" applyBorder="1" applyAlignment="1">
      <alignment horizontal="left" wrapText="1"/>
    </xf>
    <xf numFmtId="0" fontId="7" fillId="0" borderId="0" xfId="0" applyFont="1" applyBorder="1" applyAlignment="1">
      <alignment horizontal="left" vertical="center"/>
    </xf>
    <xf numFmtId="0" fontId="4" fillId="36" borderId="26" xfId="0" applyFont="1" applyFill="1" applyBorder="1" applyAlignment="1">
      <alignment horizontal="center" vertical="center" textRotation="255" wrapText="1" readingOrder="2"/>
    </xf>
    <xf numFmtId="0" fontId="4" fillId="36" borderId="71" xfId="0" applyFont="1" applyFill="1" applyBorder="1" applyAlignment="1">
      <alignment horizontal="center" vertical="center" textRotation="255" wrapText="1" readingOrder="2"/>
    </xf>
    <xf numFmtId="0" fontId="4" fillId="33" borderId="29" xfId="0" applyFont="1" applyFill="1" applyBorder="1" applyAlignment="1">
      <alignment horizontal="center" textRotation="90" wrapText="1" readingOrder="1"/>
    </xf>
    <xf numFmtId="0" fontId="4" fillId="33" borderId="37" xfId="0" applyFont="1" applyFill="1" applyBorder="1" applyAlignment="1">
      <alignment horizontal="center" textRotation="90" wrapText="1" readingOrder="1"/>
    </xf>
    <xf numFmtId="0" fontId="4" fillId="33" borderId="32" xfId="0" applyFont="1" applyFill="1" applyBorder="1" applyAlignment="1">
      <alignment horizontal="center" textRotation="90" wrapText="1" readingOrder="1"/>
    </xf>
    <xf numFmtId="0" fontId="4" fillId="0" borderId="0" xfId="0" applyFont="1" applyAlignment="1">
      <alignment horizontal="left" wrapText="1"/>
    </xf>
    <xf numFmtId="0" fontId="4" fillId="42" borderId="26" xfId="0" applyFont="1" applyFill="1" applyBorder="1" applyAlignment="1">
      <alignment horizontal="center" vertical="center" textRotation="255" wrapText="1" readingOrder="2"/>
    </xf>
    <xf numFmtId="0" fontId="0" fillId="0" borderId="27" xfId="0" applyBorder="1" applyAlignment="1">
      <alignment/>
    </xf>
    <xf numFmtId="0" fontId="0" fillId="0" borderId="71" xfId="0" applyBorder="1" applyAlignment="1">
      <alignment/>
    </xf>
    <xf numFmtId="0" fontId="0" fillId="0" borderId="72" xfId="0" applyBorder="1" applyAlignment="1">
      <alignment/>
    </xf>
    <xf numFmtId="0" fontId="0" fillId="0" borderId="30" xfId="0" applyBorder="1" applyAlignment="1">
      <alignment/>
    </xf>
    <xf numFmtId="0" fontId="0" fillId="0" borderId="31" xfId="0" applyBorder="1" applyAlignment="1">
      <alignment/>
    </xf>
    <xf numFmtId="0" fontId="4" fillId="34" borderId="30" xfId="0" applyFont="1" applyFill="1" applyBorder="1" applyAlignment="1">
      <alignment horizontal="center"/>
    </xf>
    <xf numFmtId="0" fontId="4" fillId="34" borderId="31" xfId="0" applyFont="1" applyFill="1" applyBorder="1" applyAlignment="1">
      <alignment horizontal="center"/>
    </xf>
    <xf numFmtId="0" fontId="4" fillId="35" borderId="30" xfId="0" applyFont="1" applyFill="1" applyBorder="1" applyAlignment="1">
      <alignment horizontal="center"/>
    </xf>
    <xf numFmtId="0" fontId="4" fillId="35" borderId="31" xfId="0" applyFont="1" applyFill="1" applyBorder="1" applyAlignment="1">
      <alignment horizontal="center"/>
    </xf>
    <xf numFmtId="0" fontId="4" fillId="33" borderId="29" xfId="0" applyFont="1" applyFill="1" applyBorder="1" applyAlignment="1">
      <alignment horizontal="center" vertical="center" textRotation="90" wrapText="1" readingOrder="2"/>
    </xf>
    <xf numFmtId="0" fontId="4" fillId="33" borderId="37" xfId="0" applyFont="1" applyFill="1" applyBorder="1" applyAlignment="1">
      <alignment horizontal="center" vertical="center" textRotation="90" wrapText="1" readingOrder="2"/>
    </xf>
    <xf numFmtId="0" fontId="4" fillId="33" borderId="32" xfId="0" applyFont="1" applyFill="1" applyBorder="1" applyAlignment="1">
      <alignment horizontal="center" vertical="center" textRotation="90" wrapText="1" readingOrder="2"/>
    </xf>
    <xf numFmtId="0" fontId="0" fillId="0" borderId="10" xfId="0" applyBorder="1" applyAlignment="1">
      <alignment horizontal="justify" vertical="top" wrapText="1"/>
    </xf>
    <xf numFmtId="0" fontId="0" fillId="0" borderId="40" xfId="0" applyBorder="1" applyAlignment="1">
      <alignment horizontal="justify" vertical="top" wrapText="1"/>
    </xf>
    <xf numFmtId="0" fontId="0" fillId="0" borderId="24" xfId="0" applyBorder="1" applyAlignment="1">
      <alignment horizontal="justify" vertical="top" wrapText="1"/>
    </xf>
    <xf numFmtId="0" fontId="4" fillId="39" borderId="29" xfId="0" applyFont="1" applyFill="1" applyBorder="1" applyAlignment="1">
      <alignment horizontal="center" vertical="center" textRotation="255" wrapText="1" readingOrder="2"/>
    </xf>
    <xf numFmtId="0" fontId="4" fillId="39" borderId="37" xfId="0" applyFont="1" applyFill="1" applyBorder="1" applyAlignment="1">
      <alignment horizontal="center" vertical="center" textRotation="255" wrapText="1" readingOrder="2"/>
    </xf>
    <xf numFmtId="0" fontId="4" fillId="39" borderId="32" xfId="0" applyFont="1" applyFill="1" applyBorder="1" applyAlignment="1">
      <alignment horizontal="center" vertical="center" textRotation="255" wrapText="1" readingOrder="2"/>
    </xf>
    <xf numFmtId="0" fontId="17" fillId="37" borderId="29" xfId="0" applyFont="1" applyFill="1" applyBorder="1" applyAlignment="1">
      <alignment horizontal="center" vertical="center" textRotation="255" wrapText="1"/>
    </xf>
    <xf numFmtId="0" fontId="17" fillId="37" borderId="32" xfId="0" applyFont="1" applyFill="1" applyBorder="1" applyAlignment="1">
      <alignment horizontal="center" vertical="center" textRotation="255" wrapText="1"/>
    </xf>
    <xf numFmtId="0" fontId="4" fillId="0" borderId="0" xfId="52" applyFont="1" applyBorder="1" applyAlignment="1">
      <alignment horizontal="left" vertical="center" wrapText="1"/>
      <protection/>
    </xf>
    <xf numFmtId="0" fontId="4" fillId="33" borderId="10" xfId="53" applyFont="1" applyFill="1" applyBorder="1" applyAlignment="1">
      <alignment horizontal="center" vertical="center" wrapText="1"/>
      <protection/>
    </xf>
    <xf numFmtId="0" fontId="4" fillId="33" borderId="10" xfId="53" applyFont="1" applyFill="1" applyBorder="1" applyAlignment="1">
      <alignment horizontal="center" vertical="center"/>
      <protection/>
    </xf>
    <xf numFmtId="0" fontId="0" fillId="0" borderId="0" xfId="0" applyFont="1" applyFill="1" applyBorder="1" applyAlignment="1">
      <alignment wrapText="1"/>
    </xf>
    <xf numFmtId="0" fontId="0" fillId="0" borderId="0" xfId="0" applyFont="1" applyFill="1" applyBorder="1" applyAlignment="1">
      <alignment horizontal="left" wrapText="1"/>
    </xf>
    <xf numFmtId="0" fontId="4" fillId="0" borderId="0" xfId="52" applyFont="1" applyAlignment="1">
      <alignment horizontal="left" vertical="center" wrapText="1"/>
      <protection/>
    </xf>
    <xf numFmtId="0" fontId="4" fillId="0" borderId="10" xfId="52" applyFont="1" applyFill="1" applyBorder="1" applyAlignment="1">
      <alignment horizontal="left" vertical="center" wrapText="1"/>
      <protection/>
    </xf>
    <xf numFmtId="3" fontId="9" fillId="0" borderId="10" xfId="52" applyNumberFormat="1" applyFont="1" applyBorder="1" applyAlignment="1">
      <alignment horizontal="justify" vertical="center" wrapText="1"/>
      <protection/>
    </xf>
    <xf numFmtId="0" fontId="9" fillId="33" borderId="10" xfId="53" applyFont="1" applyFill="1" applyBorder="1" applyAlignment="1">
      <alignment horizontal="center" vertical="center" wrapText="1"/>
      <protection/>
    </xf>
    <xf numFmtId="0" fontId="4" fillId="38" borderId="10" xfId="52" applyFont="1" applyFill="1" applyBorder="1" applyAlignment="1">
      <alignment horizontal="center" vertical="center" wrapText="1"/>
      <protection/>
    </xf>
    <xf numFmtId="0" fontId="4" fillId="0" borderId="10" xfId="52" applyFont="1" applyBorder="1" applyAlignment="1">
      <alignment horizontal="center" vertical="center" wrapText="1"/>
      <protection/>
    </xf>
    <xf numFmtId="0" fontId="10" fillId="0" borderId="0" xfId="0" applyFont="1" applyFill="1" applyAlignment="1">
      <alignment horizontal="left" vertical="center" wrapText="1"/>
    </xf>
    <xf numFmtId="0" fontId="13" fillId="0" borderId="0" xfId="0" applyFont="1" applyAlignment="1">
      <alignment horizontal="left" vertical="center" wrapText="1"/>
    </xf>
    <xf numFmtId="0" fontId="10" fillId="0" borderId="0" xfId="0" applyFont="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Efektywnosc_zatrudnieniowa_GWP_Tabela do Sprawozdania" xfId="52"/>
    <cellStyle name="Normalny_załącznik_wskaźniki1708"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10"/>
  <sheetViews>
    <sheetView view="pageBreakPreview" zoomScaleSheetLayoutView="100" zoomScalePageLayoutView="0" workbookViewId="0" topLeftCell="C214">
      <selection activeCell="L224" sqref="L224"/>
    </sheetView>
  </sheetViews>
  <sheetFormatPr defaultColWidth="9.140625" defaultRowHeight="12.75" outlineLevelRow="1"/>
  <cols>
    <col min="1" max="1" width="5.00390625" style="3" customWidth="1"/>
    <col min="2" max="2" width="105.28125" style="7" customWidth="1"/>
    <col min="3" max="10" width="14.7109375" style="3" customWidth="1"/>
    <col min="11" max="11" width="9.140625" style="301" customWidth="1"/>
    <col min="12" max="16384" width="9.140625" style="3" customWidth="1"/>
  </cols>
  <sheetData>
    <row r="1" spans="1:11" s="70" customFormat="1" ht="15">
      <c r="A1" s="329" t="s">
        <v>50</v>
      </c>
      <c r="B1" s="330"/>
      <c r="C1" s="330"/>
      <c r="D1" s="330"/>
      <c r="E1" s="330"/>
      <c r="F1" s="330"/>
      <c r="G1" s="330"/>
      <c r="K1" s="290"/>
    </row>
    <row r="2" spans="2:11" s="70" customFormat="1" ht="12.75">
      <c r="B2" s="156"/>
      <c r="D2" s="71"/>
      <c r="E2" s="72"/>
      <c r="F2" s="72"/>
      <c r="G2" s="73"/>
      <c r="K2" s="290"/>
    </row>
    <row r="3" spans="1:11" s="74" customFormat="1" ht="51.75" customHeight="1">
      <c r="A3" s="331" t="s">
        <v>290</v>
      </c>
      <c r="B3" s="331"/>
      <c r="C3" s="332" t="s">
        <v>407</v>
      </c>
      <c r="D3" s="333"/>
      <c r="E3" s="333"/>
      <c r="F3" s="333"/>
      <c r="G3" s="333"/>
      <c r="H3" s="333"/>
      <c r="I3" s="333"/>
      <c r="J3" s="333"/>
      <c r="K3" s="291"/>
    </row>
    <row r="4" spans="1:11" s="70" customFormat="1" ht="14.25">
      <c r="A4" s="23"/>
      <c r="B4" s="23"/>
      <c r="C4" s="75"/>
      <c r="D4" s="71"/>
      <c r="G4" s="71"/>
      <c r="K4" s="290"/>
    </row>
    <row r="5" spans="1:11" s="74" customFormat="1" ht="14.25">
      <c r="A5" s="324" t="s">
        <v>306</v>
      </c>
      <c r="B5" s="324"/>
      <c r="C5" s="325" t="s">
        <v>408</v>
      </c>
      <c r="D5" s="326"/>
      <c r="E5" s="326"/>
      <c r="F5" s="326"/>
      <c r="G5" s="326"/>
      <c r="H5" s="326"/>
      <c r="I5" s="326"/>
      <c r="J5" s="326"/>
      <c r="K5" s="291"/>
    </row>
    <row r="6" spans="1:11" s="70" customFormat="1" ht="14.25">
      <c r="A6" s="76"/>
      <c r="B6" s="77"/>
      <c r="C6" s="78"/>
      <c r="D6" s="71"/>
      <c r="G6" s="71"/>
      <c r="K6" s="290"/>
    </row>
    <row r="7" spans="1:11" s="74" customFormat="1" ht="14.25">
      <c r="A7" s="324" t="s">
        <v>307</v>
      </c>
      <c r="B7" s="324"/>
      <c r="C7" s="325" t="s">
        <v>409</v>
      </c>
      <c r="D7" s="326"/>
      <c r="E7" s="326"/>
      <c r="F7" s="326"/>
      <c r="G7" s="326"/>
      <c r="H7" s="326"/>
      <c r="I7" s="326"/>
      <c r="J7" s="326"/>
      <c r="K7" s="291"/>
    </row>
    <row r="8" spans="1:11" s="70" customFormat="1" ht="12.75">
      <c r="A8" s="74"/>
      <c r="B8" s="74"/>
      <c r="C8" s="74"/>
      <c r="D8" s="71"/>
      <c r="G8" s="71"/>
      <c r="K8" s="290"/>
    </row>
    <row r="9" spans="1:11" s="79" customFormat="1" ht="12.75" customHeight="1">
      <c r="A9" s="327" t="s">
        <v>316</v>
      </c>
      <c r="B9" s="327"/>
      <c r="C9" s="327"/>
      <c r="D9" s="327"/>
      <c r="E9" s="327"/>
      <c r="F9" s="327"/>
      <c r="G9" s="327"/>
      <c r="H9" s="327"/>
      <c r="I9" s="327"/>
      <c r="J9" s="327"/>
      <c r="K9" s="292"/>
    </row>
    <row r="10" spans="1:11" s="79" customFormat="1" ht="12.75">
      <c r="A10" s="328" t="s">
        <v>317</v>
      </c>
      <c r="B10" s="328"/>
      <c r="C10" s="328"/>
      <c r="D10" s="328"/>
      <c r="E10" s="328"/>
      <c r="F10" s="328"/>
      <c r="G10" s="328"/>
      <c r="H10" s="328"/>
      <c r="I10" s="328"/>
      <c r="J10" s="328"/>
      <c r="K10" s="292"/>
    </row>
    <row r="11" spans="1:11" s="79" customFormat="1" ht="12.75" customHeight="1">
      <c r="A11" s="338" t="s">
        <v>302</v>
      </c>
      <c r="B11" s="338"/>
      <c r="C11" s="338"/>
      <c r="D11" s="338"/>
      <c r="E11" s="338"/>
      <c r="F11" s="338"/>
      <c r="G11" s="338"/>
      <c r="H11" s="338"/>
      <c r="I11" s="338"/>
      <c r="J11" s="338"/>
      <c r="K11" s="292"/>
    </row>
    <row r="12" spans="1:11" s="79" customFormat="1" ht="12.75">
      <c r="A12" s="309"/>
      <c r="B12" s="338"/>
      <c r="C12" s="338"/>
      <c r="D12" s="338"/>
      <c r="E12" s="338"/>
      <c r="F12" s="338"/>
      <c r="G12" s="338"/>
      <c r="H12" s="338"/>
      <c r="I12" s="338"/>
      <c r="J12" s="80"/>
      <c r="K12" s="292"/>
    </row>
    <row r="13" spans="1:11" s="25" customFormat="1" ht="13.5" customHeight="1">
      <c r="A13" s="341" t="s">
        <v>49</v>
      </c>
      <c r="B13" s="341"/>
      <c r="C13" s="341"/>
      <c r="D13" s="341"/>
      <c r="E13" s="341"/>
      <c r="F13" s="341"/>
      <c r="G13" s="341"/>
      <c r="H13" s="341"/>
      <c r="I13" s="341"/>
      <c r="J13" s="341"/>
      <c r="K13" s="293"/>
    </row>
    <row r="14" spans="1:11" s="81" customFormat="1" ht="39.75" customHeight="1">
      <c r="A14" s="339" t="s">
        <v>147</v>
      </c>
      <c r="B14" s="339"/>
      <c r="C14" s="339"/>
      <c r="D14" s="339"/>
      <c r="E14" s="339"/>
      <c r="F14" s="339"/>
      <c r="G14" s="339"/>
      <c r="H14" s="339"/>
      <c r="I14" s="339"/>
      <c r="J14" s="339"/>
      <c r="K14" s="294"/>
    </row>
    <row r="15" spans="1:11" s="70" customFormat="1" ht="40.5" customHeight="1">
      <c r="A15" s="340" t="s">
        <v>51</v>
      </c>
      <c r="B15" s="340"/>
      <c r="C15" s="340"/>
      <c r="D15" s="340"/>
      <c r="E15" s="340"/>
      <c r="F15" s="340"/>
      <c r="G15" s="340"/>
      <c r="H15" s="340"/>
      <c r="I15" s="340"/>
      <c r="J15" s="340"/>
      <c r="K15" s="290"/>
    </row>
    <row r="16" spans="1:11" s="82" customFormat="1" ht="18" customHeight="1">
      <c r="A16" s="342" t="s">
        <v>301</v>
      </c>
      <c r="B16" s="342"/>
      <c r="C16" s="342"/>
      <c r="D16" s="342"/>
      <c r="E16" s="342"/>
      <c r="F16" s="342"/>
      <c r="G16" s="342"/>
      <c r="H16" s="342"/>
      <c r="I16" s="342"/>
      <c r="J16" s="342"/>
      <c r="K16" s="295"/>
    </row>
    <row r="17" spans="1:11" s="82" customFormat="1" ht="44.25" customHeight="1">
      <c r="A17" s="314" t="s">
        <v>66</v>
      </c>
      <c r="B17" s="315"/>
      <c r="C17" s="315"/>
      <c r="D17" s="315"/>
      <c r="E17" s="315"/>
      <c r="F17" s="315"/>
      <c r="G17" s="315"/>
      <c r="H17" s="315"/>
      <c r="I17" s="315"/>
      <c r="J17" s="315"/>
      <c r="K17" s="295"/>
    </row>
    <row r="18" spans="1:11" s="79" customFormat="1" ht="13.5" thickBot="1">
      <c r="A18" s="309"/>
      <c r="B18" s="309"/>
      <c r="C18" s="309"/>
      <c r="D18" s="309"/>
      <c r="E18" s="309"/>
      <c r="F18" s="309"/>
      <c r="G18" s="309"/>
      <c r="H18" s="309"/>
      <c r="I18" s="309"/>
      <c r="J18" s="80"/>
      <c r="K18" s="292"/>
    </row>
    <row r="19" spans="1:11" s="70" customFormat="1" ht="21.75" customHeight="1">
      <c r="A19" s="310" t="s">
        <v>379</v>
      </c>
      <c r="B19" s="317" t="s">
        <v>311</v>
      </c>
      <c r="C19" s="319" t="s">
        <v>380</v>
      </c>
      <c r="D19" s="321" t="s">
        <v>319</v>
      </c>
      <c r="E19" s="322"/>
      <c r="F19" s="323"/>
      <c r="G19" s="321" t="s">
        <v>320</v>
      </c>
      <c r="H19" s="322"/>
      <c r="I19" s="323"/>
      <c r="J19" s="312" t="s">
        <v>381</v>
      </c>
      <c r="K19" s="290"/>
    </row>
    <row r="20" spans="1:11" s="70" customFormat="1" ht="24" customHeight="1">
      <c r="A20" s="311"/>
      <c r="B20" s="318"/>
      <c r="C20" s="320"/>
      <c r="D20" s="162" t="s">
        <v>312</v>
      </c>
      <c r="E20" s="162" t="s">
        <v>313</v>
      </c>
      <c r="F20" s="162" t="s">
        <v>308</v>
      </c>
      <c r="G20" s="162" t="s">
        <v>312</v>
      </c>
      <c r="H20" s="162" t="s">
        <v>313</v>
      </c>
      <c r="I20" s="162" t="s">
        <v>308</v>
      </c>
      <c r="J20" s="313"/>
      <c r="K20" s="290"/>
    </row>
    <row r="21" spans="1:11" s="74" customFormat="1" ht="16.5" thickBot="1">
      <c r="A21" s="163">
        <v>1</v>
      </c>
      <c r="B21" s="164">
        <v>2</v>
      </c>
      <c r="C21" s="164">
        <v>3</v>
      </c>
      <c r="D21" s="165">
        <v>4</v>
      </c>
      <c r="E21" s="165">
        <v>5</v>
      </c>
      <c r="F21" s="165">
        <v>6</v>
      </c>
      <c r="G21" s="165">
        <v>7</v>
      </c>
      <c r="H21" s="165">
        <v>8</v>
      </c>
      <c r="I21" s="165">
        <v>9</v>
      </c>
      <c r="J21" s="166" t="s">
        <v>382</v>
      </c>
      <c r="K21" s="291"/>
    </row>
    <row r="22" spans="1:11" s="70" customFormat="1" ht="24.75" customHeight="1">
      <c r="A22" s="316" t="s">
        <v>334</v>
      </c>
      <c r="B22" s="316"/>
      <c r="C22" s="316"/>
      <c r="D22" s="316"/>
      <c r="E22" s="316"/>
      <c r="F22" s="316"/>
      <c r="G22" s="316"/>
      <c r="H22" s="316"/>
      <c r="I22" s="316"/>
      <c r="J22" s="316"/>
      <c r="K22" s="290"/>
    </row>
    <row r="23" spans="1:11" s="70" customFormat="1" ht="24.75" customHeight="1">
      <c r="A23" s="302" t="s">
        <v>232</v>
      </c>
      <c r="B23" s="303"/>
      <c r="C23" s="303"/>
      <c r="D23" s="303"/>
      <c r="E23" s="303"/>
      <c r="F23" s="303"/>
      <c r="G23" s="303"/>
      <c r="H23" s="303"/>
      <c r="I23" s="303"/>
      <c r="J23" s="304"/>
      <c r="K23" s="290"/>
    </row>
    <row r="24" spans="1:11" s="83" customFormat="1" ht="26.25" customHeight="1" hidden="1" outlineLevel="1">
      <c r="A24" s="167">
        <v>1</v>
      </c>
      <c r="B24" s="168" t="s">
        <v>335</v>
      </c>
      <c r="C24" s="169"/>
      <c r="D24" s="170"/>
      <c r="E24" s="171"/>
      <c r="F24" s="171"/>
      <c r="G24" s="170"/>
      <c r="H24" s="171"/>
      <c r="I24" s="171"/>
      <c r="J24" s="172"/>
      <c r="K24" s="296"/>
    </row>
    <row r="25" spans="1:11" s="84" customFormat="1" ht="26.25" customHeight="1" hidden="1" outlineLevel="1">
      <c r="A25" s="167">
        <v>2</v>
      </c>
      <c r="B25" s="168" t="s">
        <v>383</v>
      </c>
      <c r="C25" s="173"/>
      <c r="D25" s="173" t="s">
        <v>291</v>
      </c>
      <c r="E25" s="173" t="s">
        <v>291</v>
      </c>
      <c r="F25" s="171"/>
      <c r="G25" s="173" t="s">
        <v>291</v>
      </c>
      <c r="H25" s="173" t="s">
        <v>291</v>
      </c>
      <c r="I25" s="171"/>
      <c r="J25" s="172"/>
      <c r="K25" s="297"/>
    </row>
    <row r="26" spans="1:11" s="83" customFormat="1" ht="19.5" customHeight="1" hidden="1" outlineLevel="1">
      <c r="A26" s="167" t="s">
        <v>300</v>
      </c>
      <c r="B26" s="168" t="s">
        <v>297</v>
      </c>
      <c r="C26" s="174"/>
      <c r="D26" s="170"/>
      <c r="E26" s="171"/>
      <c r="F26" s="171"/>
      <c r="G26" s="170"/>
      <c r="H26" s="171"/>
      <c r="I26" s="171"/>
      <c r="J26" s="171"/>
      <c r="K26" s="296"/>
    </row>
    <row r="27" spans="1:11" s="70" customFormat="1" ht="24.75" customHeight="1" collapsed="1">
      <c r="A27" s="302" t="s">
        <v>245</v>
      </c>
      <c r="B27" s="303"/>
      <c r="C27" s="303"/>
      <c r="D27" s="303"/>
      <c r="E27" s="303"/>
      <c r="F27" s="303"/>
      <c r="G27" s="303"/>
      <c r="H27" s="303"/>
      <c r="I27" s="303"/>
      <c r="J27" s="304"/>
      <c r="K27" s="290"/>
    </row>
    <row r="28" spans="1:11" s="84" customFormat="1" ht="27" customHeight="1" hidden="1" outlineLevel="1">
      <c r="A28" s="167">
        <v>1</v>
      </c>
      <c r="B28" s="168" t="s">
        <v>356</v>
      </c>
      <c r="C28" s="169"/>
      <c r="D28" s="173" t="s">
        <v>291</v>
      </c>
      <c r="E28" s="173" t="s">
        <v>291</v>
      </c>
      <c r="F28" s="169"/>
      <c r="G28" s="173" t="s">
        <v>291</v>
      </c>
      <c r="H28" s="173" t="s">
        <v>291</v>
      </c>
      <c r="I28" s="169"/>
      <c r="J28" s="173"/>
      <c r="K28" s="297"/>
    </row>
    <row r="29" spans="1:11" s="85" customFormat="1" ht="26.25" customHeight="1" hidden="1" outlineLevel="1">
      <c r="A29" s="167">
        <v>2</v>
      </c>
      <c r="B29" s="168" t="s">
        <v>336</v>
      </c>
      <c r="C29" s="169"/>
      <c r="D29" s="169"/>
      <c r="E29" s="169"/>
      <c r="F29" s="169"/>
      <c r="G29" s="169"/>
      <c r="H29" s="169"/>
      <c r="I29" s="169"/>
      <c r="J29" s="175"/>
      <c r="K29" s="298"/>
    </row>
    <row r="30" spans="1:11" s="83" customFormat="1" ht="19.5" customHeight="1" hidden="1" outlineLevel="1">
      <c r="A30" s="167" t="s">
        <v>300</v>
      </c>
      <c r="B30" s="168" t="s">
        <v>297</v>
      </c>
      <c r="C30" s="174"/>
      <c r="D30" s="170"/>
      <c r="E30" s="171"/>
      <c r="F30" s="171"/>
      <c r="G30" s="170"/>
      <c r="H30" s="171"/>
      <c r="I30" s="171"/>
      <c r="J30" s="171"/>
      <c r="K30" s="296"/>
    </row>
    <row r="31" spans="1:11" s="70" customFormat="1" ht="24.75" customHeight="1" collapsed="1">
      <c r="A31" s="302" t="s">
        <v>246</v>
      </c>
      <c r="B31" s="303"/>
      <c r="C31" s="303"/>
      <c r="D31" s="303"/>
      <c r="E31" s="303"/>
      <c r="F31" s="303"/>
      <c r="G31" s="303"/>
      <c r="H31" s="303"/>
      <c r="I31" s="303"/>
      <c r="J31" s="304"/>
      <c r="K31" s="290"/>
    </row>
    <row r="32" spans="1:11" s="83" customFormat="1" ht="19.5" customHeight="1" hidden="1" outlineLevel="1">
      <c r="A32" s="305">
        <v>1</v>
      </c>
      <c r="B32" s="176" t="s">
        <v>348</v>
      </c>
      <c r="C32" s="169"/>
      <c r="D32" s="170"/>
      <c r="E32" s="171"/>
      <c r="F32" s="171"/>
      <c r="G32" s="170"/>
      <c r="H32" s="171"/>
      <c r="I32" s="171"/>
      <c r="J32" s="171"/>
      <c r="K32" s="296"/>
    </row>
    <row r="33" spans="1:11" s="83" customFormat="1" ht="19.5" customHeight="1" hidden="1" outlineLevel="1">
      <c r="A33" s="305"/>
      <c r="B33" s="177" t="s">
        <v>385</v>
      </c>
      <c r="C33" s="174"/>
      <c r="D33" s="170"/>
      <c r="E33" s="171"/>
      <c r="F33" s="171"/>
      <c r="G33" s="170"/>
      <c r="H33" s="171"/>
      <c r="I33" s="171"/>
      <c r="J33" s="171"/>
      <c r="K33" s="296"/>
    </row>
    <row r="34" spans="1:11" s="83" customFormat="1" ht="19.5" customHeight="1" hidden="1" outlineLevel="1">
      <c r="A34" s="305"/>
      <c r="B34" s="177" t="s">
        <v>386</v>
      </c>
      <c r="C34" s="174"/>
      <c r="D34" s="170"/>
      <c r="E34" s="171"/>
      <c r="F34" s="171"/>
      <c r="G34" s="170"/>
      <c r="H34" s="171"/>
      <c r="I34" s="171"/>
      <c r="J34" s="171"/>
      <c r="K34" s="296"/>
    </row>
    <row r="35" spans="1:11" s="83" customFormat="1" ht="25.5" customHeight="1" hidden="1" outlineLevel="1">
      <c r="A35" s="305"/>
      <c r="B35" s="177" t="s">
        <v>151</v>
      </c>
      <c r="C35" s="174"/>
      <c r="D35" s="170"/>
      <c r="E35" s="171"/>
      <c r="F35" s="171"/>
      <c r="G35" s="170"/>
      <c r="H35" s="171"/>
      <c r="I35" s="171"/>
      <c r="J35" s="171"/>
      <c r="K35" s="296"/>
    </row>
    <row r="36" spans="1:11" s="83" customFormat="1" ht="19.5" customHeight="1" hidden="1" outlineLevel="1">
      <c r="A36" s="305"/>
      <c r="B36" s="177" t="s">
        <v>387</v>
      </c>
      <c r="C36" s="174"/>
      <c r="D36" s="170"/>
      <c r="E36" s="171"/>
      <c r="F36" s="171"/>
      <c r="G36" s="170"/>
      <c r="H36" s="171"/>
      <c r="I36" s="171"/>
      <c r="J36" s="171"/>
      <c r="K36" s="296"/>
    </row>
    <row r="37" spans="1:11" s="83" customFormat="1" ht="19.5" customHeight="1" hidden="1" outlineLevel="1">
      <c r="A37" s="305"/>
      <c r="B37" s="177" t="s">
        <v>388</v>
      </c>
      <c r="C37" s="174"/>
      <c r="D37" s="170"/>
      <c r="E37" s="171"/>
      <c r="F37" s="171"/>
      <c r="G37" s="170"/>
      <c r="H37" s="171"/>
      <c r="I37" s="171"/>
      <c r="J37" s="171"/>
      <c r="K37" s="296"/>
    </row>
    <row r="38" spans="1:11" s="83" customFormat="1" ht="19.5" customHeight="1" hidden="1" outlineLevel="1">
      <c r="A38" s="167" t="s">
        <v>300</v>
      </c>
      <c r="B38" s="168" t="s">
        <v>297</v>
      </c>
      <c r="C38" s="174"/>
      <c r="D38" s="170"/>
      <c r="E38" s="171"/>
      <c r="F38" s="171"/>
      <c r="G38" s="170"/>
      <c r="H38" s="171"/>
      <c r="I38" s="171"/>
      <c r="J38" s="171"/>
      <c r="K38" s="296"/>
    </row>
    <row r="39" spans="1:11" s="83" customFormat="1" ht="19.5" customHeight="1" collapsed="1">
      <c r="A39" s="302" t="s">
        <v>152</v>
      </c>
      <c r="B39" s="303"/>
      <c r="C39" s="303"/>
      <c r="D39" s="303"/>
      <c r="E39" s="303"/>
      <c r="F39" s="303"/>
      <c r="G39" s="303"/>
      <c r="H39" s="303"/>
      <c r="I39" s="303"/>
      <c r="J39" s="304"/>
      <c r="K39" s="296"/>
    </row>
    <row r="40" spans="1:11" s="83" customFormat="1" ht="26.25" customHeight="1" hidden="1" outlineLevel="1">
      <c r="A40" s="167">
        <v>1</v>
      </c>
      <c r="B40" s="168" t="s">
        <v>154</v>
      </c>
      <c r="C40" s="174"/>
      <c r="D40" s="173" t="s">
        <v>291</v>
      </c>
      <c r="E40" s="173" t="s">
        <v>291</v>
      </c>
      <c r="F40" s="169"/>
      <c r="G40" s="173" t="s">
        <v>291</v>
      </c>
      <c r="H40" s="173" t="s">
        <v>291</v>
      </c>
      <c r="I40" s="171"/>
      <c r="J40" s="171"/>
      <c r="K40" s="296"/>
    </row>
    <row r="41" spans="1:11" s="83" customFormat="1" ht="26.25" customHeight="1" hidden="1" outlineLevel="1">
      <c r="A41" s="178">
        <v>2</v>
      </c>
      <c r="B41" s="176" t="s">
        <v>15</v>
      </c>
      <c r="C41" s="205" t="s">
        <v>231</v>
      </c>
      <c r="D41" s="205" t="s">
        <v>291</v>
      </c>
      <c r="E41" s="205" t="s">
        <v>291</v>
      </c>
      <c r="F41" s="179"/>
      <c r="G41" s="205" t="s">
        <v>291</v>
      </c>
      <c r="H41" s="205" t="s">
        <v>291</v>
      </c>
      <c r="I41" s="179"/>
      <c r="J41" s="205" t="s">
        <v>291</v>
      </c>
      <c r="K41" s="296"/>
    </row>
    <row r="42" spans="1:11" s="83" customFormat="1" ht="26.25" customHeight="1" hidden="1" outlineLevel="1">
      <c r="A42" s="167" t="s">
        <v>300</v>
      </c>
      <c r="B42" s="168" t="s">
        <v>297</v>
      </c>
      <c r="C42" s="174"/>
      <c r="D42" s="173"/>
      <c r="E42" s="173"/>
      <c r="F42" s="169"/>
      <c r="G42" s="173"/>
      <c r="H42" s="173"/>
      <c r="I42" s="171"/>
      <c r="J42" s="171"/>
      <c r="K42" s="296"/>
    </row>
    <row r="43" spans="1:11" s="83" customFormat="1" ht="19.5" customHeight="1" collapsed="1">
      <c r="A43" s="302" t="s">
        <v>153</v>
      </c>
      <c r="B43" s="303"/>
      <c r="C43" s="303"/>
      <c r="D43" s="303"/>
      <c r="E43" s="303"/>
      <c r="F43" s="303"/>
      <c r="G43" s="303"/>
      <c r="H43" s="303"/>
      <c r="I43" s="303"/>
      <c r="J43" s="304"/>
      <c r="K43" s="296"/>
    </row>
    <row r="44" spans="1:11" s="83" customFormat="1" ht="31.5" hidden="1" outlineLevel="1">
      <c r="A44" s="167">
        <v>1</v>
      </c>
      <c r="B44" s="168" t="s">
        <v>155</v>
      </c>
      <c r="C44" s="174"/>
      <c r="D44" s="170"/>
      <c r="E44" s="171"/>
      <c r="F44" s="171"/>
      <c r="G44" s="170"/>
      <c r="H44" s="171"/>
      <c r="I44" s="171"/>
      <c r="J44" s="171"/>
      <c r="K44" s="296"/>
    </row>
    <row r="45" spans="1:11" s="83" customFormat="1" ht="19.5" customHeight="1" hidden="1" outlineLevel="1">
      <c r="A45" s="167" t="s">
        <v>300</v>
      </c>
      <c r="B45" s="168" t="s">
        <v>297</v>
      </c>
      <c r="C45" s="174"/>
      <c r="D45" s="170"/>
      <c r="E45" s="171"/>
      <c r="F45" s="171"/>
      <c r="G45" s="170"/>
      <c r="H45" s="171"/>
      <c r="I45" s="171"/>
      <c r="J45" s="171"/>
      <c r="K45" s="296"/>
    </row>
    <row r="46" spans="1:11" s="83" customFormat="1" ht="24.75" customHeight="1" collapsed="1">
      <c r="A46" s="302" t="s">
        <v>337</v>
      </c>
      <c r="B46" s="303"/>
      <c r="C46" s="303"/>
      <c r="D46" s="303"/>
      <c r="E46" s="303"/>
      <c r="F46" s="303"/>
      <c r="G46" s="303"/>
      <c r="H46" s="303"/>
      <c r="I46" s="303"/>
      <c r="J46" s="304"/>
      <c r="K46" s="296"/>
    </row>
    <row r="47" spans="1:11" s="70" customFormat="1" ht="24.75" customHeight="1">
      <c r="A47" s="302" t="s">
        <v>247</v>
      </c>
      <c r="B47" s="303"/>
      <c r="C47" s="303"/>
      <c r="D47" s="303"/>
      <c r="E47" s="303"/>
      <c r="F47" s="303"/>
      <c r="G47" s="303"/>
      <c r="H47" s="303"/>
      <c r="I47" s="303"/>
      <c r="J47" s="304"/>
      <c r="K47" s="290"/>
    </row>
    <row r="48" spans="1:11" s="84" customFormat="1" ht="19.5" customHeight="1" hidden="1" outlineLevel="1">
      <c r="A48" s="167">
        <v>1</v>
      </c>
      <c r="B48" s="168" t="s">
        <v>357</v>
      </c>
      <c r="C48" s="169"/>
      <c r="D48" s="173" t="s">
        <v>291</v>
      </c>
      <c r="E48" s="173" t="s">
        <v>291</v>
      </c>
      <c r="F48" s="169"/>
      <c r="G48" s="173" t="s">
        <v>291</v>
      </c>
      <c r="H48" s="173" t="s">
        <v>291</v>
      </c>
      <c r="I48" s="169"/>
      <c r="J48" s="173"/>
      <c r="K48" s="297"/>
    </row>
    <row r="49" spans="1:11" s="85" customFormat="1" ht="27" customHeight="1" hidden="1" outlineLevel="1">
      <c r="A49" s="305">
        <v>2</v>
      </c>
      <c r="B49" s="168" t="s">
        <v>338</v>
      </c>
      <c r="C49" s="169"/>
      <c r="D49" s="169"/>
      <c r="E49" s="169"/>
      <c r="F49" s="169"/>
      <c r="G49" s="169"/>
      <c r="H49" s="169"/>
      <c r="I49" s="169"/>
      <c r="J49" s="175"/>
      <c r="K49" s="298"/>
    </row>
    <row r="50" spans="1:11" s="85" customFormat="1" ht="19.5" customHeight="1" hidden="1" outlineLevel="1">
      <c r="A50" s="305"/>
      <c r="B50" s="180" t="s">
        <v>389</v>
      </c>
      <c r="C50" s="181"/>
      <c r="D50" s="181"/>
      <c r="E50" s="181"/>
      <c r="F50" s="169"/>
      <c r="G50" s="181"/>
      <c r="H50" s="181"/>
      <c r="I50" s="169"/>
      <c r="J50" s="175"/>
      <c r="K50" s="298"/>
    </row>
    <row r="51" spans="1:11" s="85" customFormat="1" ht="30.75" customHeight="1" hidden="1" outlineLevel="1">
      <c r="A51" s="167">
        <v>3</v>
      </c>
      <c r="B51" s="168" t="s">
        <v>339</v>
      </c>
      <c r="C51" s="169"/>
      <c r="D51" s="169"/>
      <c r="E51" s="169"/>
      <c r="F51" s="169"/>
      <c r="G51" s="169"/>
      <c r="H51" s="169"/>
      <c r="I51" s="169"/>
      <c r="J51" s="175"/>
      <c r="K51" s="298"/>
    </row>
    <row r="52" spans="1:11" s="85" customFormat="1" ht="30" customHeight="1" hidden="1" outlineLevel="1">
      <c r="A52" s="167">
        <v>4</v>
      </c>
      <c r="B52" s="168" t="s">
        <v>166</v>
      </c>
      <c r="C52" s="169"/>
      <c r="D52" s="169"/>
      <c r="E52" s="169"/>
      <c r="F52" s="169"/>
      <c r="G52" s="169"/>
      <c r="H52" s="169"/>
      <c r="I52" s="169"/>
      <c r="J52" s="175"/>
      <c r="K52" s="298"/>
    </row>
    <row r="53" spans="1:11" s="84" customFormat="1" ht="29.25" customHeight="1" hidden="1" outlineLevel="1">
      <c r="A53" s="167">
        <v>5</v>
      </c>
      <c r="B53" s="168" t="s">
        <v>360</v>
      </c>
      <c r="C53" s="173" t="s">
        <v>231</v>
      </c>
      <c r="D53" s="173" t="s">
        <v>291</v>
      </c>
      <c r="E53" s="173" t="s">
        <v>291</v>
      </c>
      <c r="F53" s="169"/>
      <c r="G53" s="173" t="s">
        <v>291</v>
      </c>
      <c r="H53" s="173" t="s">
        <v>291</v>
      </c>
      <c r="I53" s="169"/>
      <c r="J53" s="173" t="s">
        <v>291</v>
      </c>
      <c r="K53" s="297"/>
    </row>
    <row r="54" spans="1:11" s="84" customFormat="1" ht="27.75" customHeight="1" hidden="1" outlineLevel="1">
      <c r="A54" s="167">
        <v>6</v>
      </c>
      <c r="B54" s="168" t="s">
        <v>359</v>
      </c>
      <c r="C54" s="173" t="s">
        <v>231</v>
      </c>
      <c r="D54" s="173" t="s">
        <v>291</v>
      </c>
      <c r="E54" s="173" t="s">
        <v>291</v>
      </c>
      <c r="F54" s="169"/>
      <c r="G54" s="173" t="s">
        <v>291</v>
      </c>
      <c r="H54" s="173" t="s">
        <v>291</v>
      </c>
      <c r="I54" s="169"/>
      <c r="J54" s="173" t="s">
        <v>291</v>
      </c>
      <c r="K54" s="297"/>
    </row>
    <row r="55" spans="1:11" s="83" customFormat="1" ht="19.5" customHeight="1" hidden="1" outlineLevel="1">
      <c r="A55" s="167" t="s">
        <v>300</v>
      </c>
      <c r="B55" s="168" t="s">
        <v>297</v>
      </c>
      <c r="C55" s="174"/>
      <c r="D55" s="170"/>
      <c r="E55" s="171"/>
      <c r="F55" s="171"/>
      <c r="G55" s="170"/>
      <c r="H55" s="171"/>
      <c r="I55" s="171"/>
      <c r="J55" s="171"/>
      <c r="K55" s="296"/>
    </row>
    <row r="56" spans="1:11" s="70" customFormat="1" ht="24.75" customHeight="1" collapsed="1">
      <c r="A56" s="302" t="s">
        <v>248</v>
      </c>
      <c r="B56" s="303"/>
      <c r="C56" s="303"/>
      <c r="D56" s="303"/>
      <c r="E56" s="303"/>
      <c r="F56" s="303"/>
      <c r="G56" s="303"/>
      <c r="H56" s="303"/>
      <c r="I56" s="303"/>
      <c r="J56" s="304"/>
      <c r="K56" s="290"/>
    </row>
    <row r="57" spans="1:11" s="85" customFormat="1" ht="41.25" customHeight="1" hidden="1" outlineLevel="1">
      <c r="A57" s="167">
        <v>1</v>
      </c>
      <c r="B57" s="168" t="s">
        <v>46</v>
      </c>
      <c r="C57" s="168"/>
      <c r="D57" s="182"/>
      <c r="E57" s="183"/>
      <c r="F57" s="183"/>
      <c r="G57" s="182"/>
      <c r="H57" s="183"/>
      <c r="I57" s="183"/>
      <c r="J57" s="183"/>
      <c r="K57" s="298"/>
    </row>
    <row r="58" spans="1:11" s="85" customFormat="1" ht="41.25" customHeight="1" hidden="1" outlineLevel="1">
      <c r="A58" s="167">
        <v>2</v>
      </c>
      <c r="B58" s="168" t="s">
        <v>410</v>
      </c>
      <c r="C58" s="168"/>
      <c r="D58" s="182"/>
      <c r="E58" s="183"/>
      <c r="F58" s="183"/>
      <c r="G58" s="182"/>
      <c r="H58" s="183"/>
      <c r="I58" s="183"/>
      <c r="J58" s="183"/>
      <c r="K58" s="298"/>
    </row>
    <row r="59" spans="1:11" s="85" customFormat="1" ht="41.25" customHeight="1" hidden="1" outlineLevel="1">
      <c r="A59" s="167">
        <v>3</v>
      </c>
      <c r="B59" s="176" t="s">
        <v>292</v>
      </c>
      <c r="C59" s="167"/>
      <c r="D59" s="173" t="s">
        <v>291</v>
      </c>
      <c r="E59" s="173" t="s">
        <v>291</v>
      </c>
      <c r="F59" s="169"/>
      <c r="G59" s="173" t="s">
        <v>291</v>
      </c>
      <c r="H59" s="173" t="s">
        <v>291</v>
      </c>
      <c r="I59" s="169"/>
      <c r="J59" s="173"/>
      <c r="K59" s="298"/>
    </row>
    <row r="60" spans="1:11" s="83" customFormat="1" ht="19.5" customHeight="1" hidden="1" outlineLevel="1">
      <c r="A60" s="167" t="s">
        <v>300</v>
      </c>
      <c r="B60" s="168" t="s">
        <v>297</v>
      </c>
      <c r="C60" s="174"/>
      <c r="D60" s="170"/>
      <c r="E60" s="171"/>
      <c r="F60" s="171"/>
      <c r="G60" s="170"/>
      <c r="H60" s="171"/>
      <c r="I60" s="171"/>
      <c r="J60" s="171"/>
      <c r="K60" s="296"/>
    </row>
    <row r="61" spans="1:11" s="70" customFormat="1" ht="24.75" customHeight="1" collapsed="1">
      <c r="A61" s="302" t="s">
        <v>249</v>
      </c>
      <c r="B61" s="303"/>
      <c r="C61" s="303"/>
      <c r="D61" s="303"/>
      <c r="E61" s="303"/>
      <c r="F61" s="303"/>
      <c r="G61" s="303"/>
      <c r="H61" s="303"/>
      <c r="I61" s="303"/>
      <c r="J61" s="304"/>
      <c r="K61" s="290"/>
    </row>
    <row r="62" spans="1:11" s="85" customFormat="1" ht="30" customHeight="1" hidden="1" outlineLevel="1">
      <c r="A62" s="167">
        <v>1</v>
      </c>
      <c r="B62" s="176" t="s">
        <v>196</v>
      </c>
      <c r="C62" s="169"/>
      <c r="D62" s="175" t="s">
        <v>291</v>
      </c>
      <c r="E62" s="175" t="s">
        <v>291</v>
      </c>
      <c r="F62" s="171"/>
      <c r="G62" s="175" t="s">
        <v>291</v>
      </c>
      <c r="H62" s="175" t="s">
        <v>291</v>
      </c>
      <c r="I62" s="171"/>
      <c r="J62" s="171"/>
      <c r="K62" s="298"/>
    </row>
    <row r="63" spans="1:11" s="85" customFormat="1" ht="30" customHeight="1" hidden="1" outlineLevel="1">
      <c r="A63" s="167">
        <v>2</v>
      </c>
      <c r="B63" s="168" t="s">
        <v>361</v>
      </c>
      <c r="C63" s="173" t="s">
        <v>231</v>
      </c>
      <c r="D63" s="175" t="s">
        <v>291</v>
      </c>
      <c r="E63" s="175" t="s">
        <v>291</v>
      </c>
      <c r="F63" s="171"/>
      <c r="G63" s="175" t="s">
        <v>291</v>
      </c>
      <c r="H63" s="175" t="s">
        <v>291</v>
      </c>
      <c r="I63" s="171"/>
      <c r="J63" s="175" t="s">
        <v>291</v>
      </c>
      <c r="K63" s="298"/>
    </row>
    <row r="64" spans="1:11" s="85" customFormat="1" ht="30" customHeight="1" hidden="1" outlineLevel="1">
      <c r="A64" s="167">
        <v>3</v>
      </c>
      <c r="B64" s="176" t="s">
        <v>197</v>
      </c>
      <c r="C64" s="169"/>
      <c r="D64" s="169"/>
      <c r="E64" s="169"/>
      <c r="F64" s="169"/>
      <c r="G64" s="169"/>
      <c r="H64" s="169"/>
      <c r="I64" s="169"/>
      <c r="J64" s="169"/>
      <c r="K64" s="298"/>
    </row>
    <row r="65" spans="1:11" s="85" customFormat="1" ht="30" customHeight="1" hidden="1" outlineLevel="1">
      <c r="A65" s="305">
        <v>4</v>
      </c>
      <c r="B65" s="176" t="s">
        <v>198</v>
      </c>
      <c r="C65" s="169"/>
      <c r="D65" s="169"/>
      <c r="E65" s="169"/>
      <c r="F65" s="169"/>
      <c r="G65" s="169"/>
      <c r="H65" s="169"/>
      <c r="I65" s="169"/>
      <c r="J65" s="169"/>
      <c r="K65" s="298"/>
    </row>
    <row r="66" spans="1:11" s="85" customFormat="1" ht="19.5" customHeight="1" hidden="1" outlineLevel="1">
      <c r="A66" s="305"/>
      <c r="B66" s="180" t="s">
        <v>390</v>
      </c>
      <c r="C66" s="169"/>
      <c r="D66" s="169"/>
      <c r="E66" s="169"/>
      <c r="F66" s="169"/>
      <c r="G66" s="169"/>
      <c r="H66" s="169"/>
      <c r="I66" s="169"/>
      <c r="J66" s="169"/>
      <c r="K66" s="298"/>
    </row>
    <row r="67" spans="1:11" s="85" customFormat="1" ht="19.5" customHeight="1" hidden="1" outlineLevel="1">
      <c r="A67" s="305"/>
      <c r="B67" s="180" t="s">
        <v>391</v>
      </c>
      <c r="C67" s="169"/>
      <c r="D67" s="169"/>
      <c r="E67" s="169"/>
      <c r="F67" s="169"/>
      <c r="G67" s="169"/>
      <c r="H67" s="169"/>
      <c r="I67" s="169"/>
      <c r="J67" s="169"/>
      <c r="K67" s="298"/>
    </row>
    <row r="68" spans="1:11" s="85" customFormat="1" ht="19.5" customHeight="1" hidden="1" outlineLevel="1">
      <c r="A68" s="305"/>
      <c r="B68" s="184" t="s">
        <v>392</v>
      </c>
      <c r="C68" s="169"/>
      <c r="D68" s="169"/>
      <c r="E68" s="169"/>
      <c r="F68" s="169"/>
      <c r="G68" s="169"/>
      <c r="H68" s="169"/>
      <c r="I68" s="169"/>
      <c r="J68" s="169"/>
      <c r="K68" s="298"/>
    </row>
    <row r="69" spans="1:11" s="85" customFormat="1" ht="42" customHeight="1" hidden="1" outlineLevel="1">
      <c r="A69" s="167">
        <v>5</v>
      </c>
      <c r="B69" s="176" t="s">
        <v>199</v>
      </c>
      <c r="C69" s="169"/>
      <c r="D69" s="169"/>
      <c r="E69" s="169"/>
      <c r="F69" s="169"/>
      <c r="G69" s="169"/>
      <c r="H69" s="169"/>
      <c r="I69" s="169"/>
      <c r="J69" s="169"/>
      <c r="K69" s="298"/>
    </row>
    <row r="70" spans="1:11" s="85" customFormat="1" ht="39" customHeight="1" hidden="1" outlineLevel="1">
      <c r="A70" s="167">
        <v>6</v>
      </c>
      <c r="B70" s="176" t="s">
        <v>200</v>
      </c>
      <c r="C70" s="173" t="s">
        <v>231</v>
      </c>
      <c r="D70" s="175" t="s">
        <v>291</v>
      </c>
      <c r="E70" s="175" t="s">
        <v>291</v>
      </c>
      <c r="F70" s="171"/>
      <c r="G70" s="175" t="s">
        <v>291</v>
      </c>
      <c r="H70" s="175" t="s">
        <v>291</v>
      </c>
      <c r="I70" s="171"/>
      <c r="J70" s="175" t="s">
        <v>291</v>
      </c>
      <c r="K70" s="298"/>
    </row>
    <row r="71" spans="1:11" s="85" customFormat="1" ht="30" customHeight="1" hidden="1" outlineLevel="1">
      <c r="A71" s="167">
        <v>7</v>
      </c>
      <c r="B71" s="176" t="s">
        <v>411</v>
      </c>
      <c r="C71" s="179"/>
      <c r="D71" s="175" t="s">
        <v>291</v>
      </c>
      <c r="E71" s="175" t="s">
        <v>291</v>
      </c>
      <c r="F71" s="171"/>
      <c r="G71" s="175" t="s">
        <v>291</v>
      </c>
      <c r="H71" s="175" t="s">
        <v>291</v>
      </c>
      <c r="I71" s="171"/>
      <c r="J71" s="171"/>
      <c r="K71" s="298"/>
    </row>
    <row r="72" spans="1:11" s="83" customFormat="1" ht="23.25" customHeight="1" hidden="1" outlineLevel="1">
      <c r="A72" s="167" t="s">
        <v>300</v>
      </c>
      <c r="B72" s="168" t="s">
        <v>297</v>
      </c>
      <c r="C72" s="174"/>
      <c r="D72" s="170"/>
      <c r="E72" s="171"/>
      <c r="F72" s="171"/>
      <c r="G72" s="170"/>
      <c r="H72" s="171"/>
      <c r="I72" s="171"/>
      <c r="J72" s="171"/>
      <c r="K72" s="296"/>
    </row>
    <row r="73" spans="1:11" s="83" customFormat="1" ht="24.75" customHeight="1" collapsed="1">
      <c r="A73" s="306" t="s">
        <v>340</v>
      </c>
      <c r="B73" s="307"/>
      <c r="C73" s="307"/>
      <c r="D73" s="307"/>
      <c r="E73" s="307"/>
      <c r="F73" s="307"/>
      <c r="G73" s="307"/>
      <c r="H73" s="307"/>
      <c r="I73" s="307"/>
      <c r="J73" s="308"/>
      <c r="K73" s="296"/>
    </row>
    <row r="74" spans="1:11" s="70" customFormat="1" ht="24.75" customHeight="1">
      <c r="A74" s="302" t="s">
        <v>250</v>
      </c>
      <c r="B74" s="303"/>
      <c r="C74" s="303"/>
      <c r="D74" s="303"/>
      <c r="E74" s="303"/>
      <c r="F74" s="303"/>
      <c r="G74" s="303"/>
      <c r="H74" s="303"/>
      <c r="I74" s="303"/>
      <c r="J74" s="304"/>
      <c r="K74" s="290"/>
    </row>
    <row r="75" spans="1:11" s="70" customFormat="1" ht="24.75" customHeight="1" hidden="1" outlineLevel="1">
      <c r="A75" s="185">
        <v>1</v>
      </c>
      <c r="B75" s="176" t="s">
        <v>47</v>
      </c>
      <c r="C75" s="173"/>
      <c r="D75" s="173" t="s">
        <v>291</v>
      </c>
      <c r="E75" s="173" t="s">
        <v>291</v>
      </c>
      <c r="F75" s="175"/>
      <c r="G75" s="173" t="s">
        <v>291</v>
      </c>
      <c r="H75" s="173" t="s">
        <v>291</v>
      </c>
      <c r="I75" s="175"/>
      <c r="J75" s="175"/>
      <c r="K75" s="290"/>
    </row>
    <row r="76" spans="1:11" s="85" customFormat="1" ht="30" customHeight="1" hidden="1" outlineLevel="1">
      <c r="A76" s="185">
        <v>2</v>
      </c>
      <c r="B76" s="176" t="s">
        <v>227</v>
      </c>
      <c r="C76" s="169"/>
      <c r="D76" s="175"/>
      <c r="E76" s="175"/>
      <c r="F76" s="171"/>
      <c r="G76" s="175"/>
      <c r="H76" s="175"/>
      <c r="I76" s="171"/>
      <c r="J76" s="175"/>
      <c r="K76" s="298"/>
    </row>
    <row r="77" spans="1:11" s="83" customFormat="1" ht="19.5" customHeight="1" hidden="1" outlineLevel="1">
      <c r="A77" s="167" t="s">
        <v>300</v>
      </c>
      <c r="B77" s="168" t="s">
        <v>297</v>
      </c>
      <c r="C77" s="174"/>
      <c r="D77" s="170"/>
      <c r="E77" s="171"/>
      <c r="F77" s="171"/>
      <c r="G77" s="170"/>
      <c r="H77" s="171"/>
      <c r="I77" s="171"/>
      <c r="J77" s="171"/>
      <c r="K77" s="296"/>
    </row>
    <row r="78" spans="1:11" s="70" customFormat="1" ht="24.75" customHeight="1" collapsed="1">
      <c r="A78" s="302" t="s">
        <v>251</v>
      </c>
      <c r="B78" s="303"/>
      <c r="C78" s="303"/>
      <c r="D78" s="303"/>
      <c r="E78" s="303"/>
      <c r="F78" s="303"/>
      <c r="G78" s="303"/>
      <c r="H78" s="303"/>
      <c r="I78" s="303"/>
      <c r="J78" s="304"/>
      <c r="K78" s="290"/>
    </row>
    <row r="79" spans="1:11" s="85" customFormat="1" ht="30" customHeight="1" hidden="1" outlineLevel="1">
      <c r="A79" s="185">
        <v>1</v>
      </c>
      <c r="B79" s="168" t="s">
        <v>362</v>
      </c>
      <c r="C79" s="169"/>
      <c r="D79" s="175" t="s">
        <v>291</v>
      </c>
      <c r="E79" s="175" t="s">
        <v>291</v>
      </c>
      <c r="F79" s="171"/>
      <c r="G79" s="175" t="s">
        <v>291</v>
      </c>
      <c r="H79" s="175" t="s">
        <v>291</v>
      </c>
      <c r="I79" s="171"/>
      <c r="J79" s="175"/>
      <c r="K79" s="298"/>
    </row>
    <row r="80" spans="1:11" s="83" customFormat="1" ht="19.5" customHeight="1" hidden="1" outlineLevel="1">
      <c r="A80" s="167" t="s">
        <v>300</v>
      </c>
      <c r="B80" s="168" t="s">
        <v>297</v>
      </c>
      <c r="C80" s="174"/>
      <c r="D80" s="170"/>
      <c r="E80" s="171"/>
      <c r="F80" s="171"/>
      <c r="G80" s="170"/>
      <c r="H80" s="171"/>
      <c r="I80" s="171"/>
      <c r="J80" s="171"/>
      <c r="K80" s="296"/>
    </row>
    <row r="81" spans="1:11" s="70" customFormat="1" ht="24.75" customHeight="1" collapsed="1">
      <c r="A81" s="302" t="s">
        <v>252</v>
      </c>
      <c r="B81" s="303"/>
      <c r="C81" s="303"/>
      <c r="D81" s="303"/>
      <c r="E81" s="303"/>
      <c r="F81" s="303"/>
      <c r="G81" s="303"/>
      <c r="H81" s="303"/>
      <c r="I81" s="303"/>
      <c r="J81" s="304"/>
      <c r="K81" s="290"/>
    </row>
    <row r="82" spans="1:11" s="85" customFormat="1" ht="45" customHeight="1" hidden="1" outlineLevel="1">
      <c r="A82" s="185">
        <v>1</v>
      </c>
      <c r="B82" s="168" t="s">
        <v>363</v>
      </c>
      <c r="C82" s="169"/>
      <c r="D82" s="175" t="s">
        <v>291</v>
      </c>
      <c r="E82" s="175" t="s">
        <v>291</v>
      </c>
      <c r="F82" s="171"/>
      <c r="G82" s="175" t="s">
        <v>291</v>
      </c>
      <c r="H82" s="175" t="s">
        <v>291</v>
      </c>
      <c r="I82" s="186"/>
      <c r="J82" s="175"/>
      <c r="K82" s="298"/>
    </row>
    <row r="83" spans="1:11" s="85" customFormat="1" ht="30" customHeight="1" hidden="1" outlineLevel="1">
      <c r="A83" s="185">
        <v>2</v>
      </c>
      <c r="B83" s="176" t="s">
        <v>201</v>
      </c>
      <c r="C83" s="169"/>
      <c r="D83" s="175" t="s">
        <v>291</v>
      </c>
      <c r="E83" s="175" t="s">
        <v>291</v>
      </c>
      <c r="F83" s="171"/>
      <c r="G83" s="175" t="s">
        <v>291</v>
      </c>
      <c r="H83" s="175" t="s">
        <v>291</v>
      </c>
      <c r="I83" s="186"/>
      <c r="J83" s="175"/>
      <c r="K83" s="298"/>
    </row>
    <row r="84" spans="1:11" s="85" customFormat="1" ht="45" customHeight="1" hidden="1" outlineLevel="1">
      <c r="A84" s="185">
        <v>3</v>
      </c>
      <c r="B84" s="168" t="s">
        <v>366</v>
      </c>
      <c r="C84" s="169"/>
      <c r="D84" s="175" t="s">
        <v>291</v>
      </c>
      <c r="E84" s="175" t="s">
        <v>291</v>
      </c>
      <c r="F84" s="171"/>
      <c r="G84" s="175" t="s">
        <v>291</v>
      </c>
      <c r="H84" s="175" t="s">
        <v>291</v>
      </c>
      <c r="I84" s="186"/>
      <c r="J84" s="175"/>
      <c r="K84" s="298"/>
    </row>
    <row r="85" spans="1:11" s="85" customFormat="1" ht="39" customHeight="1" hidden="1" outlineLevel="1">
      <c r="A85" s="185">
        <v>4</v>
      </c>
      <c r="B85" s="168" t="s">
        <v>367</v>
      </c>
      <c r="C85" s="169"/>
      <c r="D85" s="175" t="s">
        <v>291</v>
      </c>
      <c r="E85" s="175" t="s">
        <v>291</v>
      </c>
      <c r="F85" s="171"/>
      <c r="G85" s="175" t="s">
        <v>291</v>
      </c>
      <c r="H85" s="175" t="s">
        <v>291</v>
      </c>
      <c r="I85" s="186"/>
      <c r="J85" s="175"/>
      <c r="K85" s="298"/>
    </row>
    <row r="86" spans="1:11" s="83" customFormat="1" ht="19.5" customHeight="1" hidden="1" outlineLevel="1">
      <c r="A86" s="167" t="s">
        <v>300</v>
      </c>
      <c r="B86" s="168" t="s">
        <v>297</v>
      </c>
      <c r="C86" s="174"/>
      <c r="D86" s="170"/>
      <c r="E86" s="171"/>
      <c r="F86" s="171"/>
      <c r="G86" s="170"/>
      <c r="H86" s="171"/>
      <c r="I86" s="171"/>
      <c r="J86" s="171"/>
      <c r="K86" s="296"/>
    </row>
    <row r="87" spans="1:11" s="70" customFormat="1" ht="24.75" customHeight="1" collapsed="1">
      <c r="A87" s="302" t="s">
        <v>253</v>
      </c>
      <c r="B87" s="303"/>
      <c r="C87" s="303"/>
      <c r="D87" s="303"/>
      <c r="E87" s="303"/>
      <c r="F87" s="303"/>
      <c r="G87" s="303"/>
      <c r="H87" s="303"/>
      <c r="I87" s="303"/>
      <c r="J87" s="304"/>
      <c r="K87" s="290"/>
    </row>
    <row r="88" spans="1:11" s="83" customFormat="1" ht="45" customHeight="1" hidden="1" outlineLevel="1">
      <c r="A88" s="185">
        <v>1</v>
      </c>
      <c r="B88" s="176" t="s">
        <v>203</v>
      </c>
      <c r="C88" s="169"/>
      <c r="D88" s="169"/>
      <c r="E88" s="169"/>
      <c r="F88" s="169"/>
      <c r="G88" s="169"/>
      <c r="H88" s="169"/>
      <c r="I88" s="169"/>
      <c r="J88" s="175"/>
      <c r="K88" s="296"/>
    </row>
    <row r="89" spans="1:11" s="83" customFormat="1" ht="25.5" customHeight="1" hidden="1" outlineLevel="1">
      <c r="A89" s="187">
        <v>2</v>
      </c>
      <c r="B89" s="176" t="s">
        <v>37</v>
      </c>
      <c r="C89" s="205" t="s">
        <v>231</v>
      </c>
      <c r="D89" s="179"/>
      <c r="E89" s="179"/>
      <c r="F89" s="179"/>
      <c r="G89" s="179"/>
      <c r="H89" s="179"/>
      <c r="I89" s="179"/>
      <c r="J89" s="188" t="s">
        <v>291</v>
      </c>
      <c r="K89" s="296"/>
    </row>
    <row r="90" spans="1:11" s="85" customFormat="1" ht="24.75" customHeight="1" hidden="1" outlineLevel="1">
      <c r="A90" s="185">
        <v>3</v>
      </c>
      <c r="B90" s="183" t="s">
        <v>136</v>
      </c>
      <c r="C90" s="169"/>
      <c r="D90" s="175" t="s">
        <v>291</v>
      </c>
      <c r="E90" s="175" t="s">
        <v>291</v>
      </c>
      <c r="F90" s="169"/>
      <c r="G90" s="175" t="s">
        <v>291</v>
      </c>
      <c r="H90" s="175" t="s">
        <v>291</v>
      </c>
      <c r="I90" s="169"/>
      <c r="J90" s="175"/>
      <c r="K90" s="298"/>
    </row>
    <row r="91" spans="1:11" s="85" customFormat="1" ht="24.75" customHeight="1" hidden="1" outlineLevel="1">
      <c r="A91" s="167" t="s">
        <v>300</v>
      </c>
      <c r="B91" s="168" t="s">
        <v>297</v>
      </c>
      <c r="C91" s="174"/>
      <c r="D91" s="170"/>
      <c r="E91" s="171"/>
      <c r="F91" s="171"/>
      <c r="G91" s="170"/>
      <c r="H91" s="171"/>
      <c r="I91" s="171"/>
      <c r="J91" s="171"/>
      <c r="K91" s="298"/>
    </row>
    <row r="92" spans="1:11" s="85" customFormat="1" ht="24.75" customHeight="1" collapsed="1">
      <c r="A92" s="302" t="s">
        <v>137</v>
      </c>
      <c r="B92" s="303"/>
      <c r="C92" s="303"/>
      <c r="D92" s="303"/>
      <c r="E92" s="303"/>
      <c r="F92" s="303"/>
      <c r="G92" s="303"/>
      <c r="H92" s="303"/>
      <c r="I92" s="303"/>
      <c r="J92" s="304"/>
      <c r="K92" s="298"/>
    </row>
    <row r="93" spans="1:11" s="85" customFormat="1" ht="30.75" customHeight="1" hidden="1" outlineLevel="1">
      <c r="A93" s="335">
        <v>1</v>
      </c>
      <c r="B93" s="176" t="s">
        <v>138</v>
      </c>
      <c r="C93" s="173"/>
      <c r="D93" s="173" t="s">
        <v>291</v>
      </c>
      <c r="E93" s="173" t="s">
        <v>291</v>
      </c>
      <c r="F93" s="175"/>
      <c r="G93" s="173" t="s">
        <v>291</v>
      </c>
      <c r="H93" s="173" t="s">
        <v>291</v>
      </c>
      <c r="I93" s="175"/>
      <c r="J93" s="175"/>
      <c r="K93" s="298"/>
    </row>
    <row r="94" spans="1:11" s="85" customFormat="1" ht="24.75" customHeight="1" hidden="1" outlineLevel="1">
      <c r="A94" s="336"/>
      <c r="B94" s="176" t="s">
        <v>139</v>
      </c>
      <c r="C94" s="173"/>
      <c r="D94" s="173" t="s">
        <v>291</v>
      </c>
      <c r="E94" s="173" t="s">
        <v>291</v>
      </c>
      <c r="F94" s="175"/>
      <c r="G94" s="173" t="s">
        <v>291</v>
      </c>
      <c r="H94" s="173" t="s">
        <v>291</v>
      </c>
      <c r="I94" s="175"/>
      <c r="J94" s="175"/>
      <c r="K94" s="298"/>
    </row>
    <row r="95" spans="1:11" s="85" customFormat="1" ht="24.75" customHeight="1" hidden="1" outlineLevel="1">
      <c r="A95" s="337"/>
      <c r="B95" s="176" t="s">
        <v>140</v>
      </c>
      <c r="C95" s="173"/>
      <c r="D95" s="173" t="s">
        <v>291</v>
      </c>
      <c r="E95" s="173" t="s">
        <v>291</v>
      </c>
      <c r="F95" s="175"/>
      <c r="G95" s="173" t="s">
        <v>291</v>
      </c>
      <c r="H95" s="173" t="s">
        <v>291</v>
      </c>
      <c r="I95" s="175"/>
      <c r="J95" s="175"/>
      <c r="K95" s="298"/>
    </row>
    <row r="96" spans="1:11" s="85" customFormat="1" ht="24.75" customHeight="1" hidden="1" outlineLevel="1">
      <c r="A96" s="167" t="s">
        <v>300</v>
      </c>
      <c r="B96" s="168" t="s">
        <v>297</v>
      </c>
      <c r="C96" s="174"/>
      <c r="D96" s="170"/>
      <c r="E96" s="171"/>
      <c r="F96" s="171"/>
      <c r="G96" s="170"/>
      <c r="H96" s="171"/>
      <c r="I96" s="171"/>
      <c r="J96" s="171"/>
      <c r="K96" s="298"/>
    </row>
    <row r="97" spans="1:11" s="83" customFormat="1" ht="24.75" customHeight="1" collapsed="1">
      <c r="A97" s="302" t="s">
        <v>341</v>
      </c>
      <c r="B97" s="303"/>
      <c r="C97" s="303"/>
      <c r="D97" s="303"/>
      <c r="E97" s="303"/>
      <c r="F97" s="303"/>
      <c r="G97" s="303"/>
      <c r="H97" s="303"/>
      <c r="I97" s="303"/>
      <c r="J97" s="304"/>
      <c r="K97" s="296"/>
    </row>
    <row r="98" spans="1:11" s="70" customFormat="1" ht="24.75" customHeight="1">
      <c r="A98" s="302" t="s">
        <v>254</v>
      </c>
      <c r="B98" s="303"/>
      <c r="C98" s="303"/>
      <c r="D98" s="303"/>
      <c r="E98" s="303"/>
      <c r="F98" s="303"/>
      <c r="G98" s="303"/>
      <c r="H98" s="303"/>
      <c r="I98" s="303"/>
      <c r="J98" s="304"/>
      <c r="K98" s="290"/>
    </row>
    <row r="99" spans="1:11" s="85" customFormat="1" ht="25.5" customHeight="1" hidden="1" outlineLevel="1">
      <c r="A99" s="185">
        <v>1</v>
      </c>
      <c r="B99" s="176" t="s">
        <v>342</v>
      </c>
      <c r="C99" s="169"/>
      <c r="D99" s="175" t="s">
        <v>291</v>
      </c>
      <c r="E99" s="175" t="s">
        <v>291</v>
      </c>
      <c r="F99" s="171"/>
      <c r="G99" s="175" t="s">
        <v>291</v>
      </c>
      <c r="H99" s="175" t="s">
        <v>291</v>
      </c>
      <c r="I99" s="171"/>
      <c r="J99" s="175"/>
      <c r="K99" s="298"/>
    </row>
    <row r="100" spans="1:11" s="85" customFormat="1" ht="19.5" customHeight="1" hidden="1" outlineLevel="1">
      <c r="A100" s="185">
        <v>2</v>
      </c>
      <c r="B100" s="168" t="s">
        <v>343</v>
      </c>
      <c r="C100" s="173" t="s">
        <v>231</v>
      </c>
      <c r="D100" s="175" t="s">
        <v>291</v>
      </c>
      <c r="E100" s="175" t="s">
        <v>291</v>
      </c>
      <c r="F100" s="171"/>
      <c r="G100" s="175" t="s">
        <v>291</v>
      </c>
      <c r="H100" s="175" t="s">
        <v>291</v>
      </c>
      <c r="I100" s="171"/>
      <c r="J100" s="175" t="s">
        <v>291</v>
      </c>
      <c r="K100" s="298"/>
    </row>
    <row r="101" spans="1:11" s="85" customFormat="1" ht="30" customHeight="1" hidden="1" outlineLevel="1">
      <c r="A101" s="185">
        <v>3</v>
      </c>
      <c r="B101" s="176" t="s">
        <v>255</v>
      </c>
      <c r="C101" s="169"/>
      <c r="D101" s="169"/>
      <c r="E101" s="169"/>
      <c r="F101" s="171"/>
      <c r="G101" s="169"/>
      <c r="H101" s="169"/>
      <c r="I101" s="171"/>
      <c r="J101" s="175"/>
      <c r="K101" s="298"/>
    </row>
    <row r="102" spans="1:11" s="86" customFormat="1" ht="24.75" customHeight="1" hidden="1" outlineLevel="1">
      <c r="A102" s="187">
        <v>4</v>
      </c>
      <c r="B102" s="176" t="s">
        <v>256</v>
      </c>
      <c r="C102" s="169"/>
      <c r="D102" s="169"/>
      <c r="E102" s="169"/>
      <c r="F102" s="171"/>
      <c r="G102" s="169"/>
      <c r="H102" s="169"/>
      <c r="I102" s="171"/>
      <c r="J102" s="188"/>
      <c r="K102" s="299"/>
    </row>
    <row r="103" spans="1:11" s="85" customFormat="1" ht="28.5" customHeight="1" hidden="1" outlineLevel="1">
      <c r="A103" s="334">
        <v>5</v>
      </c>
      <c r="B103" s="176" t="s">
        <v>204</v>
      </c>
      <c r="C103" s="169"/>
      <c r="D103" s="175" t="s">
        <v>291</v>
      </c>
      <c r="E103" s="175" t="s">
        <v>291</v>
      </c>
      <c r="F103" s="171"/>
      <c r="G103" s="175" t="s">
        <v>291</v>
      </c>
      <c r="H103" s="175" t="s">
        <v>291</v>
      </c>
      <c r="I103" s="171"/>
      <c r="J103" s="175"/>
      <c r="K103" s="298"/>
    </row>
    <row r="104" spans="1:11" s="85" customFormat="1" ht="24.75" customHeight="1" hidden="1" outlineLevel="1">
      <c r="A104" s="334"/>
      <c r="B104" s="177" t="s">
        <v>393</v>
      </c>
      <c r="C104" s="169"/>
      <c r="D104" s="175" t="s">
        <v>291</v>
      </c>
      <c r="E104" s="175" t="s">
        <v>291</v>
      </c>
      <c r="F104" s="171"/>
      <c r="G104" s="175" t="s">
        <v>291</v>
      </c>
      <c r="H104" s="175" t="s">
        <v>291</v>
      </c>
      <c r="I104" s="171"/>
      <c r="J104" s="175"/>
      <c r="K104" s="298"/>
    </row>
    <row r="105" spans="1:11" s="85" customFormat="1" ht="24.75" customHeight="1" hidden="1" outlineLevel="1">
      <c r="A105" s="334"/>
      <c r="B105" s="177" t="s">
        <v>394</v>
      </c>
      <c r="C105" s="169"/>
      <c r="D105" s="175" t="s">
        <v>291</v>
      </c>
      <c r="E105" s="175" t="s">
        <v>291</v>
      </c>
      <c r="F105" s="171"/>
      <c r="G105" s="175" t="s">
        <v>291</v>
      </c>
      <c r="H105" s="175" t="s">
        <v>291</v>
      </c>
      <c r="I105" s="171"/>
      <c r="J105" s="175"/>
      <c r="K105" s="298"/>
    </row>
    <row r="106" spans="1:11" s="85" customFormat="1" ht="30" customHeight="1" hidden="1" outlineLevel="1">
      <c r="A106" s="185">
        <v>6</v>
      </c>
      <c r="B106" s="168" t="s">
        <v>368</v>
      </c>
      <c r="C106" s="169"/>
      <c r="D106" s="175" t="s">
        <v>291</v>
      </c>
      <c r="E106" s="175" t="s">
        <v>291</v>
      </c>
      <c r="F106" s="171"/>
      <c r="G106" s="175" t="s">
        <v>291</v>
      </c>
      <c r="H106" s="175" t="s">
        <v>291</v>
      </c>
      <c r="I106" s="171"/>
      <c r="J106" s="175"/>
      <c r="K106" s="298"/>
    </row>
    <row r="107" spans="1:11" s="85" customFormat="1" ht="30" customHeight="1" hidden="1" outlineLevel="1">
      <c r="A107" s="185">
        <v>7</v>
      </c>
      <c r="B107" s="168" t="s">
        <v>344</v>
      </c>
      <c r="C107" s="169"/>
      <c r="D107" s="169"/>
      <c r="E107" s="169"/>
      <c r="F107" s="169"/>
      <c r="G107" s="169"/>
      <c r="H107" s="169"/>
      <c r="I107" s="169"/>
      <c r="J107" s="175"/>
      <c r="K107" s="298"/>
    </row>
    <row r="108" spans="1:11" s="85" customFormat="1" ht="39" customHeight="1" hidden="1" outlineLevel="1">
      <c r="A108" s="185">
        <v>8</v>
      </c>
      <c r="B108" s="168" t="s">
        <v>345</v>
      </c>
      <c r="C108" s="169"/>
      <c r="D108" s="169"/>
      <c r="E108" s="169"/>
      <c r="F108" s="169"/>
      <c r="G108" s="169"/>
      <c r="H108" s="169"/>
      <c r="I108" s="169"/>
      <c r="J108" s="175"/>
      <c r="K108" s="298"/>
    </row>
    <row r="109" spans="1:11" s="83" customFormat="1" ht="28.5" customHeight="1" hidden="1" outlineLevel="1">
      <c r="A109" s="167" t="s">
        <v>300</v>
      </c>
      <c r="B109" s="168" t="s">
        <v>297</v>
      </c>
      <c r="C109" s="174"/>
      <c r="D109" s="170"/>
      <c r="E109" s="171"/>
      <c r="F109" s="171"/>
      <c r="G109" s="170"/>
      <c r="H109" s="171"/>
      <c r="I109" s="171"/>
      <c r="J109" s="171"/>
      <c r="K109" s="296"/>
    </row>
    <row r="110" spans="1:11" s="70" customFormat="1" ht="24.75" customHeight="1" collapsed="1">
      <c r="A110" s="302" t="s">
        <v>257</v>
      </c>
      <c r="B110" s="303"/>
      <c r="C110" s="303"/>
      <c r="D110" s="303"/>
      <c r="E110" s="303"/>
      <c r="F110" s="303"/>
      <c r="G110" s="303"/>
      <c r="H110" s="303"/>
      <c r="I110" s="303"/>
      <c r="J110" s="304"/>
      <c r="K110" s="290"/>
    </row>
    <row r="111" spans="1:11" s="83" customFormat="1" ht="45" customHeight="1" hidden="1" outlineLevel="1">
      <c r="A111" s="185">
        <v>1</v>
      </c>
      <c r="B111" s="176" t="s">
        <v>205</v>
      </c>
      <c r="C111" s="169"/>
      <c r="D111" s="170"/>
      <c r="E111" s="171"/>
      <c r="F111" s="171"/>
      <c r="G111" s="170"/>
      <c r="H111" s="171"/>
      <c r="I111" s="171"/>
      <c r="J111" s="175"/>
      <c r="K111" s="296"/>
    </row>
    <row r="112" spans="1:11" s="83" customFormat="1" ht="19.5" customHeight="1" hidden="1" outlineLevel="1">
      <c r="A112" s="167" t="s">
        <v>300</v>
      </c>
      <c r="B112" s="168" t="s">
        <v>297</v>
      </c>
      <c r="C112" s="174"/>
      <c r="D112" s="170"/>
      <c r="E112" s="171"/>
      <c r="F112" s="171"/>
      <c r="G112" s="170"/>
      <c r="H112" s="171"/>
      <c r="I112" s="171"/>
      <c r="J112" s="171"/>
      <c r="K112" s="296"/>
    </row>
    <row r="113" spans="1:11" s="70" customFormat="1" ht="24.75" customHeight="1" collapsed="1">
      <c r="A113" s="302" t="s">
        <v>124</v>
      </c>
      <c r="B113" s="303"/>
      <c r="C113" s="303"/>
      <c r="D113" s="303"/>
      <c r="E113" s="303"/>
      <c r="F113" s="303"/>
      <c r="G113" s="303"/>
      <c r="H113" s="303"/>
      <c r="I113" s="303"/>
      <c r="J113" s="304"/>
      <c r="K113" s="290"/>
    </row>
    <row r="114" spans="1:11" s="85" customFormat="1" ht="25.5" customHeight="1" hidden="1" outlineLevel="1">
      <c r="A114" s="185">
        <v>1</v>
      </c>
      <c r="B114" s="176" t="s">
        <v>342</v>
      </c>
      <c r="C114" s="169"/>
      <c r="D114" s="175" t="s">
        <v>291</v>
      </c>
      <c r="E114" s="175" t="s">
        <v>291</v>
      </c>
      <c r="F114" s="171"/>
      <c r="G114" s="175" t="s">
        <v>291</v>
      </c>
      <c r="H114" s="175" t="s">
        <v>291</v>
      </c>
      <c r="I114" s="171"/>
      <c r="J114" s="175"/>
      <c r="K114" s="298"/>
    </row>
    <row r="115" spans="1:11" s="85" customFormat="1" ht="19.5" customHeight="1" hidden="1" outlineLevel="1">
      <c r="A115" s="185">
        <v>2</v>
      </c>
      <c r="B115" s="176" t="s">
        <v>343</v>
      </c>
      <c r="C115" s="173" t="s">
        <v>231</v>
      </c>
      <c r="D115" s="175" t="s">
        <v>291</v>
      </c>
      <c r="E115" s="175" t="s">
        <v>291</v>
      </c>
      <c r="F115" s="171"/>
      <c r="G115" s="175" t="s">
        <v>291</v>
      </c>
      <c r="H115" s="175" t="s">
        <v>291</v>
      </c>
      <c r="I115" s="171"/>
      <c r="J115" s="175" t="s">
        <v>291</v>
      </c>
      <c r="K115" s="298"/>
    </row>
    <row r="116" spans="1:11" s="85" customFormat="1" ht="30" customHeight="1" hidden="1" outlineLevel="1">
      <c r="A116" s="185">
        <v>3</v>
      </c>
      <c r="B116" s="176" t="s">
        <v>255</v>
      </c>
      <c r="C116" s="169"/>
      <c r="D116" s="169"/>
      <c r="E116" s="169"/>
      <c r="F116" s="171"/>
      <c r="G116" s="169"/>
      <c r="H116" s="169"/>
      <c r="I116" s="171"/>
      <c r="J116" s="175"/>
      <c r="K116" s="298"/>
    </row>
    <row r="117" spans="1:11" s="86" customFormat="1" ht="24.75" customHeight="1" hidden="1" outlineLevel="1">
      <c r="A117" s="187">
        <v>4</v>
      </c>
      <c r="B117" s="176" t="s">
        <v>256</v>
      </c>
      <c r="C117" s="169"/>
      <c r="D117" s="169"/>
      <c r="E117" s="169"/>
      <c r="F117" s="171"/>
      <c r="G117" s="169"/>
      <c r="H117" s="169"/>
      <c r="I117" s="171"/>
      <c r="J117" s="188"/>
      <c r="K117" s="299"/>
    </row>
    <row r="118" spans="1:11" s="85" customFormat="1" ht="30" customHeight="1" hidden="1" outlineLevel="1">
      <c r="A118" s="185">
        <v>5</v>
      </c>
      <c r="B118" s="176" t="s">
        <v>368</v>
      </c>
      <c r="C118" s="169"/>
      <c r="D118" s="175" t="s">
        <v>291</v>
      </c>
      <c r="E118" s="175" t="s">
        <v>291</v>
      </c>
      <c r="F118" s="171"/>
      <c r="G118" s="175" t="s">
        <v>291</v>
      </c>
      <c r="H118" s="175" t="s">
        <v>291</v>
      </c>
      <c r="I118" s="171"/>
      <c r="J118" s="175"/>
      <c r="K118" s="298"/>
    </row>
    <row r="119" spans="1:11" s="83" customFormat="1" ht="28.5" customHeight="1" hidden="1" outlineLevel="1">
      <c r="A119" s="167" t="s">
        <v>300</v>
      </c>
      <c r="B119" s="176" t="s">
        <v>297</v>
      </c>
      <c r="C119" s="174"/>
      <c r="D119" s="170"/>
      <c r="E119" s="171"/>
      <c r="F119" s="171"/>
      <c r="G119" s="170"/>
      <c r="H119" s="171"/>
      <c r="I119" s="171"/>
      <c r="J119" s="171"/>
      <c r="K119" s="296"/>
    </row>
    <row r="120" spans="1:11" s="83" customFormat="1" ht="24.75" customHeight="1" collapsed="1">
      <c r="A120" s="302" t="s">
        <v>346</v>
      </c>
      <c r="B120" s="303"/>
      <c r="C120" s="303"/>
      <c r="D120" s="303"/>
      <c r="E120" s="303"/>
      <c r="F120" s="303"/>
      <c r="G120" s="303"/>
      <c r="H120" s="303"/>
      <c r="I120" s="303"/>
      <c r="J120" s="304"/>
      <c r="K120" s="296"/>
    </row>
    <row r="121" spans="1:11" s="70" customFormat="1" ht="24.75" customHeight="1">
      <c r="A121" s="302" t="s">
        <v>258</v>
      </c>
      <c r="B121" s="303"/>
      <c r="C121" s="303"/>
      <c r="D121" s="303"/>
      <c r="E121" s="303"/>
      <c r="F121" s="303"/>
      <c r="G121" s="303"/>
      <c r="H121" s="303"/>
      <c r="I121" s="303"/>
      <c r="J121" s="304"/>
      <c r="K121" s="290"/>
    </row>
    <row r="122" spans="1:11" s="85" customFormat="1" ht="30" customHeight="1" hidden="1" outlineLevel="1">
      <c r="A122" s="335">
        <v>1</v>
      </c>
      <c r="B122" s="176" t="s">
        <v>303</v>
      </c>
      <c r="C122" s="169"/>
      <c r="D122" s="175" t="s">
        <v>291</v>
      </c>
      <c r="E122" s="175" t="s">
        <v>291</v>
      </c>
      <c r="F122" s="171"/>
      <c r="G122" s="175" t="s">
        <v>291</v>
      </c>
      <c r="H122" s="175" t="s">
        <v>291</v>
      </c>
      <c r="I122" s="171"/>
      <c r="J122" s="175"/>
      <c r="K122" s="298"/>
    </row>
    <row r="123" spans="1:11" s="85" customFormat="1" ht="19.5" customHeight="1" hidden="1" outlineLevel="1">
      <c r="A123" s="336"/>
      <c r="B123" s="180" t="s">
        <v>259</v>
      </c>
      <c r="C123" s="169"/>
      <c r="D123" s="175" t="s">
        <v>291</v>
      </c>
      <c r="E123" s="175" t="s">
        <v>291</v>
      </c>
      <c r="F123" s="171"/>
      <c r="G123" s="175" t="s">
        <v>291</v>
      </c>
      <c r="H123" s="175" t="s">
        <v>291</v>
      </c>
      <c r="I123" s="171"/>
      <c r="J123" s="175"/>
      <c r="K123" s="298"/>
    </row>
    <row r="124" spans="1:11" s="85" customFormat="1" ht="19.5" customHeight="1" hidden="1" outlineLevel="1">
      <c r="A124" s="337"/>
      <c r="B124" s="180" t="s">
        <v>260</v>
      </c>
      <c r="C124" s="169"/>
      <c r="D124" s="175" t="s">
        <v>291</v>
      </c>
      <c r="E124" s="175" t="s">
        <v>291</v>
      </c>
      <c r="F124" s="171"/>
      <c r="G124" s="175" t="s">
        <v>291</v>
      </c>
      <c r="H124" s="175" t="s">
        <v>291</v>
      </c>
      <c r="I124" s="171"/>
      <c r="J124" s="175"/>
      <c r="K124" s="298"/>
    </row>
    <row r="125" spans="1:11" s="85" customFormat="1" ht="47.25" hidden="1" outlineLevel="1">
      <c r="A125" s="185">
        <v>2</v>
      </c>
      <c r="B125" s="176" t="s">
        <v>125</v>
      </c>
      <c r="C125" s="169"/>
      <c r="D125" s="169"/>
      <c r="E125" s="169"/>
      <c r="F125" s="171"/>
      <c r="G125" s="169"/>
      <c r="H125" s="169"/>
      <c r="I125" s="171"/>
      <c r="J125" s="169"/>
      <c r="K125" s="298"/>
    </row>
    <row r="126" spans="1:11" s="85" customFormat="1" ht="31.5" hidden="1" outlineLevel="1">
      <c r="A126" s="185">
        <v>3</v>
      </c>
      <c r="B126" s="176" t="s">
        <v>126</v>
      </c>
      <c r="C126" s="169"/>
      <c r="D126" s="175" t="s">
        <v>291</v>
      </c>
      <c r="E126" s="175" t="s">
        <v>291</v>
      </c>
      <c r="F126" s="171"/>
      <c r="G126" s="175" t="s">
        <v>291</v>
      </c>
      <c r="H126" s="175" t="s">
        <v>291</v>
      </c>
      <c r="I126" s="171"/>
      <c r="J126" s="175"/>
      <c r="K126" s="298"/>
    </row>
    <row r="127" spans="1:11" s="85" customFormat="1" ht="31.5" hidden="1" outlineLevel="1">
      <c r="A127" s="185">
        <v>4</v>
      </c>
      <c r="B127" s="176" t="s">
        <v>130</v>
      </c>
      <c r="C127" s="169"/>
      <c r="D127" s="175" t="s">
        <v>291</v>
      </c>
      <c r="E127" s="175" t="s">
        <v>291</v>
      </c>
      <c r="F127" s="171"/>
      <c r="G127" s="175" t="s">
        <v>291</v>
      </c>
      <c r="H127" s="175" t="s">
        <v>291</v>
      </c>
      <c r="I127" s="171"/>
      <c r="J127" s="175"/>
      <c r="K127" s="298"/>
    </row>
    <row r="128" spans="1:11" s="85" customFormat="1" ht="31.5" hidden="1" outlineLevel="1">
      <c r="A128" s="185">
        <v>5</v>
      </c>
      <c r="B128" s="176" t="s">
        <v>131</v>
      </c>
      <c r="C128" s="169"/>
      <c r="D128" s="175" t="s">
        <v>291</v>
      </c>
      <c r="E128" s="175" t="s">
        <v>291</v>
      </c>
      <c r="F128" s="171"/>
      <c r="G128" s="175" t="s">
        <v>291</v>
      </c>
      <c r="H128" s="175" t="s">
        <v>291</v>
      </c>
      <c r="I128" s="171"/>
      <c r="J128" s="175"/>
      <c r="K128" s="298"/>
    </row>
    <row r="129" spans="1:11" s="85" customFormat="1" ht="19.5" customHeight="1" hidden="1" outlineLevel="1">
      <c r="A129" s="167" t="s">
        <v>300</v>
      </c>
      <c r="B129" s="168" t="s">
        <v>297</v>
      </c>
      <c r="C129" s="169"/>
      <c r="D129" s="169"/>
      <c r="E129" s="169"/>
      <c r="F129" s="169"/>
      <c r="G129" s="169"/>
      <c r="H129" s="169"/>
      <c r="I129" s="169"/>
      <c r="J129" s="171"/>
      <c r="K129" s="298"/>
    </row>
    <row r="130" spans="1:11" s="70" customFormat="1" ht="24.75" customHeight="1" collapsed="1">
      <c r="A130" s="302" t="s">
        <v>261</v>
      </c>
      <c r="B130" s="303"/>
      <c r="C130" s="303"/>
      <c r="D130" s="303"/>
      <c r="E130" s="303"/>
      <c r="F130" s="303"/>
      <c r="G130" s="303"/>
      <c r="H130" s="303"/>
      <c r="I130" s="303"/>
      <c r="J130" s="304"/>
      <c r="K130" s="290"/>
    </row>
    <row r="131" spans="1:11" s="83" customFormat="1" ht="31.5" hidden="1" outlineLevel="1">
      <c r="A131" s="185">
        <v>1</v>
      </c>
      <c r="B131" s="176" t="s">
        <v>132</v>
      </c>
      <c r="C131" s="169"/>
      <c r="D131" s="169"/>
      <c r="E131" s="169"/>
      <c r="F131" s="169"/>
      <c r="G131" s="169"/>
      <c r="H131" s="169"/>
      <c r="I131" s="169"/>
      <c r="J131" s="175"/>
      <c r="K131" s="296"/>
    </row>
    <row r="132" spans="1:11" s="85" customFormat="1" ht="30" customHeight="1" hidden="1" outlineLevel="1">
      <c r="A132" s="334">
        <v>2</v>
      </c>
      <c r="B132" s="176" t="s">
        <v>133</v>
      </c>
      <c r="C132" s="169"/>
      <c r="D132" s="175" t="s">
        <v>291</v>
      </c>
      <c r="E132" s="175" t="s">
        <v>291</v>
      </c>
      <c r="F132" s="169"/>
      <c r="G132" s="175" t="s">
        <v>291</v>
      </c>
      <c r="H132" s="175" t="s">
        <v>291</v>
      </c>
      <c r="I132" s="169"/>
      <c r="J132" s="175"/>
      <c r="K132" s="298"/>
    </row>
    <row r="133" spans="1:11" s="85" customFormat="1" ht="19.5" customHeight="1" hidden="1" outlineLevel="1">
      <c r="A133" s="334"/>
      <c r="B133" s="177" t="s">
        <v>395</v>
      </c>
      <c r="C133" s="169"/>
      <c r="D133" s="175" t="s">
        <v>291</v>
      </c>
      <c r="E133" s="175" t="s">
        <v>291</v>
      </c>
      <c r="F133" s="169"/>
      <c r="G133" s="175" t="s">
        <v>291</v>
      </c>
      <c r="H133" s="175" t="s">
        <v>291</v>
      </c>
      <c r="I133" s="169"/>
      <c r="J133" s="175"/>
      <c r="K133" s="298"/>
    </row>
    <row r="134" spans="1:11" s="85" customFormat="1" ht="19.5" customHeight="1" hidden="1" outlineLevel="1">
      <c r="A134" s="334"/>
      <c r="B134" s="177" t="s">
        <v>396</v>
      </c>
      <c r="C134" s="169"/>
      <c r="D134" s="175" t="s">
        <v>291</v>
      </c>
      <c r="E134" s="175" t="s">
        <v>291</v>
      </c>
      <c r="F134" s="169"/>
      <c r="G134" s="175" t="s">
        <v>291</v>
      </c>
      <c r="H134" s="175" t="s">
        <v>291</v>
      </c>
      <c r="I134" s="169"/>
      <c r="J134" s="175"/>
      <c r="K134" s="298"/>
    </row>
    <row r="135" spans="1:11" s="85" customFormat="1" ht="19.5" customHeight="1" hidden="1" outlineLevel="1">
      <c r="A135" s="334"/>
      <c r="B135" s="177" t="s">
        <v>397</v>
      </c>
      <c r="C135" s="169"/>
      <c r="D135" s="175" t="s">
        <v>291</v>
      </c>
      <c r="E135" s="175" t="s">
        <v>291</v>
      </c>
      <c r="F135" s="169"/>
      <c r="G135" s="175" t="s">
        <v>291</v>
      </c>
      <c r="H135" s="175" t="s">
        <v>291</v>
      </c>
      <c r="I135" s="169"/>
      <c r="J135" s="175"/>
      <c r="K135" s="298"/>
    </row>
    <row r="136" spans="1:11" s="85" customFormat="1" ht="31.5" hidden="1" outlineLevel="1">
      <c r="A136" s="185">
        <v>3</v>
      </c>
      <c r="B136" s="168" t="s">
        <v>134</v>
      </c>
      <c r="C136" s="169"/>
      <c r="D136" s="175"/>
      <c r="E136" s="175"/>
      <c r="F136" s="169"/>
      <c r="G136" s="175"/>
      <c r="H136" s="175"/>
      <c r="I136" s="169"/>
      <c r="J136" s="175"/>
      <c r="K136" s="298"/>
    </row>
    <row r="137" spans="1:11" s="85" customFormat="1" ht="19.5" customHeight="1" hidden="1" outlineLevel="1">
      <c r="A137" s="167" t="s">
        <v>300</v>
      </c>
      <c r="B137" s="168" t="s">
        <v>297</v>
      </c>
      <c r="C137" s="169"/>
      <c r="D137" s="169"/>
      <c r="E137" s="169"/>
      <c r="F137" s="169"/>
      <c r="G137" s="169"/>
      <c r="H137" s="169"/>
      <c r="I137" s="169"/>
      <c r="J137" s="171"/>
      <c r="K137" s="298"/>
    </row>
    <row r="138" spans="1:11" s="70" customFormat="1" ht="24.75" customHeight="1" collapsed="1">
      <c r="A138" s="302" t="s">
        <v>262</v>
      </c>
      <c r="B138" s="303"/>
      <c r="C138" s="303"/>
      <c r="D138" s="303"/>
      <c r="E138" s="303"/>
      <c r="F138" s="303"/>
      <c r="G138" s="303"/>
      <c r="H138" s="303"/>
      <c r="I138" s="303"/>
      <c r="J138" s="304"/>
      <c r="K138" s="290"/>
    </row>
    <row r="139" spans="1:11" s="83" customFormat="1" ht="30" customHeight="1" hidden="1" outlineLevel="1">
      <c r="A139" s="185">
        <v>1</v>
      </c>
      <c r="B139" s="176" t="s">
        <v>263</v>
      </c>
      <c r="C139" s="169"/>
      <c r="D139" s="169"/>
      <c r="E139" s="169"/>
      <c r="F139" s="169"/>
      <c r="G139" s="169"/>
      <c r="H139" s="169"/>
      <c r="I139" s="169"/>
      <c r="J139" s="175"/>
      <c r="K139" s="296"/>
    </row>
    <row r="140" spans="1:11" s="85" customFormat="1" ht="30" customHeight="1" hidden="1" outlineLevel="1">
      <c r="A140" s="185">
        <v>2</v>
      </c>
      <c r="B140" s="176" t="s">
        <v>135</v>
      </c>
      <c r="C140" s="169"/>
      <c r="D140" s="175" t="s">
        <v>291</v>
      </c>
      <c r="E140" s="175" t="s">
        <v>291</v>
      </c>
      <c r="F140" s="169"/>
      <c r="G140" s="175" t="s">
        <v>291</v>
      </c>
      <c r="H140" s="175" t="s">
        <v>291</v>
      </c>
      <c r="I140" s="169"/>
      <c r="J140" s="175"/>
      <c r="K140" s="298"/>
    </row>
    <row r="141" spans="1:11" s="85" customFormat="1" ht="30" customHeight="1" hidden="1" outlineLevel="1">
      <c r="A141" s="185">
        <v>3</v>
      </c>
      <c r="B141" s="176" t="s">
        <v>369</v>
      </c>
      <c r="C141" s="169"/>
      <c r="D141" s="175" t="s">
        <v>291</v>
      </c>
      <c r="E141" s="175" t="s">
        <v>291</v>
      </c>
      <c r="F141" s="169"/>
      <c r="G141" s="175" t="s">
        <v>291</v>
      </c>
      <c r="H141" s="175" t="s">
        <v>291</v>
      </c>
      <c r="I141" s="169"/>
      <c r="J141" s="175"/>
      <c r="K141" s="298"/>
    </row>
    <row r="142" spans="1:11" s="85" customFormat="1" ht="19.5" customHeight="1" hidden="1" outlineLevel="1">
      <c r="A142" s="167" t="s">
        <v>300</v>
      </c>
      <c r="B142" s="168" t="s">
        <v>297</v>
      </c>
      <c r="C142" s="169"/>
      <c r="D142" s="169"/>
      <c r="E142" s="169"/>
      <c r="F142" s="169"/>
      <c r="G142" s="169"/>
      <c r="H142" s="169"/>
      <c r="I142" s="169"/>
      <c r="J142" s="171"/>
      <c r="K142" s="298"/>
    </row>
    <row r="143" spans="1:11" s="70" customFormat="1" ht="24.75" customHeight="1" collapsed="1">
      <c r="A143" s="302" t="s">
        <v>264</v>
      </c>
      <c r="B143" s="303"/>
      <c r="C143" s="303"/>
      <c r="D143" s="303"/>
      <c r="E143" s="303"/>
      <c r="F143" s="303"/>
      <c r="G143" s="303"/>
      <c r="H143" s="303"/>
      <c r="I143" s="303"/>
      <c r="J143" s="304"/>
      <c r="K143" s="290"/>
    </row>
    <row r="144" spans="1:11" s="83" customFormat="1" ht="30" customHeight="1" hidden="1" outlineLevel="1">
      <c r="A144" s="185">
        <v>1</v>
      </c>
      <c r="B144" s="176" t="s">
        <v>265</v>
      </c>
      <c r="C144" s="169"/>
      <c r="D144" s="169"/>
      <c r="E144" s="169"/>
      <c r="F144" s="169"/>
      <c r="G144" s="169"/>
      <c r="H144" s="169"/>
      <c r="I144" s="169"/>
      <c r="J144" s="175"/>
      <c r="K144" s="296"/>
    </row>
    <row r="145" spans="1:11" s="85" customFormat="1" ht="30" customHeight="1" hidden="1" outlineLevel="1">
      <c r="A145" s="185">
        <v>2</v>
      </c>
      <c r="B145" s="176" t="s">
        <v>370</v>
      </c>
      <c r="C145" s="169"/>
      <c r="D145" s="175" t="s">
        <v>291</v>
      </c>
      <c r="E145" s="175" t="s">
        <v>291</v>
      </c>
      <c r="F145" s="169"/>
      <c r="G145" s="175" t="s">
        <v>291</v>
      </c>
      <c r="H145" s="175" t="s">
        <v>291</v>
      </c>
      <c r="I145" s="169"/>
      <c r="J145" s="175"/>
      <c r="K145" s="298"/>
    </row>
    <row r="146" spans="1:11" s="85" customFormat="1" ht="23.25" customHeight="1" hidden="1" outlineLevel="1">
      <c r="A146" s="167" t="s">
        <v>300</v>
      </c>
      <c r="B146" s="168" t="s">
        <v>297</v>
      </c>
      <c r="C146" s="169"/>
      <c r="D146" s="169"/>
      <c r="E146" s="169"/>
      <c r="F146" s="169"/>
      <c r="G146" s="169"/>
      <c r="H146" s="169"/>
      <c r="I146" s="169"/>
      <c r="J146" s="171"/>
      <c r="K146" s="298"/>
    </row>
    <row r="147" spans="1:11" s="83" customFormat="1" ht="24.75" customHeight="1" collapsed="1">
      <c r="A147" s="306" t="s">
        <v>347</v>
      </c>
      <c r="B147" s="307"/>
      <c r="C147" s="307"/>
      <c r="D147" s="307"/>
      <c r="E147" s="307"/>
      <c r="F147" s="307"/>
      <c r="G147" s="307"/>
      <c r="H147" s="307"/>
      <c r="I147" s="307"/>
      <c r="J147" s="308"/>
      <c r="K147" s="296"/>
    </row>
    <row r="148" spans="1:11" s="70" customFormat="1" ht="24.75" customHeight="1">
      <c r="A148" s="302" t="s">
        <v>266</v>
      </c>
      <c r="B148" s="303"/>
      <c r="C148" s="303"/>
      <c r="D148" s="303"/>
      <c r="E148" s="303"/>
      <c r="F148" s="303"/>
      <c r="G148" s="303"/>
      <c r="H148" s="303"/>
      <c r="I148" s="303"/>
      <c r="J148" s="304"/>
      <c r="K148" s="290"/>
    </row>
    <row r="149" spans="1:11" s="83" customFormat="1" ht="27.75" customHeight="1" outlineLevel="1">
      <c r="A149" s="334">
        <v>1</v>
      </c>
      <c r="B149" s="176" t="s">
        <v>348</v>
      </c>
      <c r="C149" s="173" t="s">
        <v>231</v>
      </c>
      <c r="D149" s="171">
        <f>13323-10847</f>
        <v>2476</v>
      </c>
      <c r="E149" s="171">
        <f>9103-7577</f>
        <v>1526</v>
      </c>
      <c r="F149" s="170">
        <f>D149+E149</f>
        <v>4002</v>
      </c>
      <c r="G149" s="171">
        <v>13323</v>
      </c>
      <c r="H149" s="171">
        <v>9103</v>
      </c>
      <c r="I149" s="170">
        <f>G149+H149</f>
        <v>22426</v>
      </c>
      <c r="J149" s="173" t="s">
        <v>291</v>
      </c>
      <c r="K149" s="296"/>
    </row>
    <row r="150" spans="1:11" s="83" customFormat="1" ht="19.5" customHeight="1" outlineLevel="1">
      <c r="A150" s="334"/>
      <c r="B150" s="180" t="s">
        <v>398</v>
      </c>
      <c r="C150" s="173" t="s">
        <v>231</v>
      </c>
      <c r="D150" s="171">
        <f>5901-4777</f>
        <v>1124</v>
      </c>
      <c r="E150" s="171">
        <f>3705-3014</f>
        <v>691</v>
      </c>
      <c r="F150" s="170">
        <f aca="true" t="shared" si="0" ref="F150:F165">D150+E150</f>
        <v>1815</v>
      </c>
      <c r="G150" s="171">
        <v>5901</v>
      </c>
      <c r="H150" s="171">
        <v>3705</v>
      </c>
      <c r="I150" s="170">
        <f aca="true" t="shared" si="1" ref="I150:I165">G150+H150</f>
        <v>9606</v>
      </c>
      <c r="J150" s="173" t="s">
        <v>291</v>
      </c>
      <c r="K150" s="296"/>
    </row>
    <row r="151" spans="1:11" s="83" customFormat="1" ht="19.5" customHeight="1" outlineLevel="1">
      <c r="A151" s="334"/>
      <c r="B151" s="180" t="s">
        <v>399</v>
      </c>
      <c r="C151" s="173" t="s">
        <v>231</v>
      </c>
      <c r="D151" s="171">
        <f>2381-1942</f>
        <v>439</v>
      </c>
      <c r="E151" s="171">
        <f>H151-1276</f>
        <v>276</v>
      </c>
      <c r="F151" s="170">
        <f t="shared" si="0"/>
        <v>715</v>
      </c>
      <c r="G151" s="171">
        <v>2381</v>
      </c>
      <c r="H151" s="171">
        <v>1552</v>
      </c>
      <c r="I151" s="170">
        <f t="shared" si="1"/>
        <v>3933</v>
      </c>
      <c r="J151" s="173" t="s">
        <v>291</v>
      </c>
      <c r="K151" s="296"/>
    </row>
    <row r="152" spans="1:11" s="83" customFormat="1" ht="15.75" outlineLevel="1">
      <c r="A152" s="334"/>
      <c r="B152" s="180" t="s">
        <v>267</v>
      </c>
      <c r="C152" s="173" t="s">
        <v>231</v>
      </c>
      <c r="D152" s="171">
        <f>G152-5809</f>
        <v>1694</v>
      </c>
      <c r="E152" s="171">
        <f>H152-4018</f>
        <v>997</v>
      </c>
      <c r="F152" s="170">
        <f t="shared" si="0"/>
        <v>2691</v>
      </c>
      <c r="G152" s="171">
        <v>7503</v>
      </c>
      <c r="H152" s="171">
        <v>5015</v>
      </c>
      <c r="I152" s="170">
        <f t="shared" si="1"/>
        <v>12518</v>
      </c>
      <c r="J152" s="173" t="s">
        <v>291</v>
      </c>
      <c r="K152" s="296"/>
    </row>
    <row r="153" spans="1:11" s="83" customFormat="1" ht="19.5" customHeight="1" outlineLevel="1">
      <c r="A153" s="334"/>
      <c r="B153" s="176" t="s">
        <v>268</v>
      </c>
      <c r="C153" s="173" t="s">
        <v>231</v>
      </c>
      <c r="D153" s="171">
        <f>G153-753</f>
        <v>346</v>
      </c>
      <c r="E153" s="171">
        <f>H153-472</f>
        <v>153</v>
      </c>
      <c r="F153" s="170">
        <f t="shared" si="0"/>
        <v>499</v>
      </c>
      <c r="G153" s="171">
        <v>1099</v>
      </c>
      <c r="H153" s="171">
        <v>625</v>
      </c>
      <c r="I153" s="170">
        <f t="shared" si="1"/>
        <v>1724</v>
      </c>
      <c r="J153" s="173" t="s">
        <v>291</v>
      </c>
      <c r="K153" s="296"/>
    </row>
    <row r="154" spans="1:11" s="83" customFormat="1" ht="19.5" customHeight="1" outlineLevel="1">
      <c r="A154" s="334"/>
      <c r="B154" s="176" t="s">
        <v>269</v>
      </c>
      <c r="C154" s="173" t="s">
        <v>231</v>
      </c>
      <c r="D154" s="171">
        <f>G154-2595</f>
        <v>1017</v>
      </c>
      <c r="E154" s="171">
        <f>H154-1424</f>
        <v>561</v>
      </c>
      <c r="F154" s="170">
        <f t="shared" si="0"/>
        <v>1578</v>
      </c>
      <c r="G154" s="171">
        <v>3612</v>
      </c>
      <c r="H154" s="171">
        <v>1985</v>
      </c>
      <c r="I154" s="170">
        <f t="shared" si="1"/>
        <v>5597</v>
      </c>
      <c r="J154" s="173" t="s">
        <v>291</v>
      </c>
      <c r="K154" s="296"/>
    </row>
    <row r="155" spans="1:11" s="83" customFormat="1" ht="19.5" customHeight="1" outlineLevel="1">
      <c r="A155" s="334"/>
      <c r="B155" s="176" t="s">
        <v>270</v>
      </c>
      <c r="C155" s="173" t="s">
        <v>231</v>
      </c>
      <c r="D155" s="171">
        <f>G155-3819</f>
        <v>832</v>
      </c>
      <c r="E155" s="171">
        <f>H155-2870</f>
        <v>548</v>
      </c>
      <c r="F155" s="170">
        <f t="shared" si="0"/>
        <v>1380</v>
      </c>
      <c r="G155" s="171">
        <v>4651</v>
      </c>
      <c r="H155" s="171">
        <v>3418</v>
      </c>
      <c r="I155" s="170">
        <f t="shared" si="1"/>
        <v>8069</v>
      </c>
      <c r="J155" s="173" t="s">
        <v>291</v>
      </c>
      <c r="K155" s="296"/>
    </row>
    <row r="156" spans="1:11" s="83" customFormat="1" ht="19.5" customHeight="1" outlineLevel="1">
      <c r="A156" s="334"/>
      <c r="B156" s="180" t="s">
        <v>400</v>
      </c>
      <c r="C156" s="173" t="s">
        <v>231</v>
      </c>
      <c r="D156" s="171">
        <f>G156-1119</f>
        <v>273</v>
      </c>
      <c r="E156" s="171">
        <f>H156-1026</f>
        <v>255</v>
      </c>
      <c r="F156" s="170">
        <f t="shared" si="0"/>
        <v>528</v>
      </c>
      <c r="G156" s="171">
        <v>1392</v>
      </c>
      <c r="H156" s="171">
        <v>1281</v>
      </c>
      <c r="I156" s="170">
        <f t="shared" si="1"/>
        <v>2673</v>
      </c>
      <c r="J156" s="173" t="s">
        <v>291</v>
      </c>
      <c r="K156" s="296"/>
    </row>
    <row r="157" spans="1:11" s="83" customFormat="1" ht="19.5" customHeight="1" outlineLevel="1">
      <c r="A157" s="334"/>
      <c r="B157" s="180" t="s">
        <v>401</v>
      </c>
      <c r="C157" s="173" t="s">
        <v>231</v>
      </c>
      <c r="D157" s="171">
        <f>G157-2920</f>
        <v>2348</v>
      </c>
      <c r="E157" s="171">
        <f>H157-1755</f>
        <v>1460</v>
      </c>
      <c r="F157" s="170">
        <f t="shared" si="0"/>
        <v>3808</v>
      </c>
      <c r="G157" s="171">
        <v>5268</v>
      </c>
      <c r="H157" s="171">
        <v>3215</v>
      </c>
      <c r="I157" s="170">
        <f t="shared" si="1"/>
        <v>8483</v>
      </c>
      <c r="J157" s="173" t="s">
        <v>291</v>
      </c>
      <c r="K157" s="296"/>
    </row>
    <row r="158" spans="1:11" s="83" customFormat="1" ht="45" customHeight="1" outlineLevel="1">
      <c r="A158" s="185">
        <v>2</v>
      </c>
      <c r="B158" s="168" t="s">
        <v>402</v>
      </c>
      <c r="C158" s="169">
        <v>190</v>
      </c>
      <c r="D158" s="171">
        <v>44</v>
      </c>
      <c r="E158" s="171">
        <f>19-14</f>
        <v>5</v>
      </c>
      <c r="F158" s="170">
        <f t="shared" si="0"/>
        <v>49</v>
      </c>
      <c r="G158" s="171">
        <v>301</v>
      </c>
      <c r="H158" s="171">
        <v>19</v>
      </c>
      <c r="I158" s="170">
        <f t="shared" si="1"/>
        <v>320</v>
      </c>
      <c r="J158" s="270">
        <f>320/190*100</f>
        <v>168.42105263157893</v>
      </c>
      <c r="K158" s="296"/>
    </row>
    <row r="159" spans="1:11" s="83" customFormat="1" ht="19.5" customHeight="1" outlineLevel="1">
      <c r="A159" s="334">
        <v>3</v>
      </c>
      <c r="B159" s="168" t="s">
        <v>175</v>
      </c>
      <c r="C159" s="173" t="s">
        <v>231</v>
      </c>
      <c r="D159" s="171">
        <f>1358-1163</f>
        <v>195</v>
      </c>
      <c r="E159" s="171">
        <f>1974-1703</f>
        <v>271</v>
      </c>
      <c r="F159" s="170">
        <f t="shared" si="0"/>
        <v>466</v>
      </c>
      <c r="G159" s="171">
        <v>1358</v>
      </c>
      <c r="H159" s="171">
        <v>1974</v>
      </c>
      <c r="I159" s="170">
        <f t="shared" si="1"/>
        <v>3332</v>
      </c>
      <c r="J159" s="173" t="s">
        <v>291</v>
      </c>
      <c r="K159" s="296"/>
    </row>
    <row r="160" spans="1:11" s="83" customFormat="1" ht="19.5" customHeight="1" outlineLevel="1">
      <c r="A160" s="334"/>
      <c r="B160" s="177" t="s">
        <v>398</v>
      </c>
      <c r="C160" s="173" t="s">
        <v>231</v>
      </c>
      <c r="D160" s="171">
        <f>317-262</f>
        <v>55</v>
      </c>
      <c r="E160" s="171">
        <f>404-323</f>
        <v>81</v>
      </c>
      <c r="F160" s="170">
        <f t="shared" si="0"/>
        <v>136</v>
      </c>
      <c r="G160" s="171">
        <v>317</v>
      </c>
      <c r="H160" s="171">
        <v>404</v>
      </c>
      <c r="I160" s="170">
        <f t="shared" si="1"/>
        <v>721</v>
      </c>
      <c r="J160" s="173" t="s">
        <v>291</v>
      </c>
      <c r="K160" s="296"/>
    </row>
    <row r="161" spans="1:11" s="83" customFormat="1" ht="19.5" customHeight="1" outlineLevel="1">
      <c r="A161" s="334"/>
      <c r="B161" s="177" t="s">
        <v>267</v>
      </c>
      <c r="C161" s="173" t="s">
        <v>231</v>
      </c>
      <c r="D161" s="171">
        <f>728-613</f>
        <v>115</v>
      </c>
      <c r="E161" s="171">
        <f>1102-919</f>
        <v>183</v>
      </c>
      <c r="F161" s="170">
        <f t="shared" si="0"/>
        <v>298</v>
      </c>
      <c r="G161" s="171">
        <v>728</v>
      </c>
      <c r="H161" s="171">
        <v>1102</v>
      </c>
      <c r="I161" s="170">
        <f t="shared" si="1"/>
        <v>1830</v>
      </c>
      <c r="J161" s="173" t="s">
        <v>291</v>
      </c>
      <c r="K161" s="296"/>
    </row>
    <row r="162" spans="1:11" s="83" customFormat="1" ht="19.5" customHeight="1" outlineLevel="1">
      <c r="A162" s="334"/>
      <c r="B162" s="168" t="s">
        <v>268</v>
      </c>
      <c r="C162" s="173" t="s">
        <v>231</v>
      </c>
      <c r="D162" s="171">
        <f>41-32</f>
        <v>9</v>
      </c>
      <c r="E162" s="171">
        <f>40-25</f>
        <v>15</v>
      </c>
      <c r="F162" s="170">
        <f t="shared" si="0"/>
        <v>24</v>
      </c>
      <c r="G162" s="171">
        <v>41</v>
      </c>
      <c r="H162" s="171">
        <v>40</v>
      </c>
      <c r="I162" s="170">
        <f t="shared" si="1"/>
        <v>81</v>
      </c>
      <c r="J162" s="173" t="s">
        <v>291</v>
      </c>
      <c r="K162" s="296"/>
    </row>
    <row r="163" spans="1:11" s="83" customFormat="1" ht="19.5" customHeight="1" outlineLevel="1">
      <c r="A163" s="334"/>
      <c r="B163" s="168" t="s">
        <v>269</v>
      </c>
      <c r="C163" s="173" t="s">
        <v>231</v>
      </c>
      <c r="D163" s="171">
        <f>366-290</f>
        <v>76</v>
      </c>
      <c r="E163" s="171">
        <f>545-423</f>
        <v>122</v>
      </c>
      <c r="F163" s="170">
        <f t="shared" si="0"/>
        <v>198</v>
      </c>
      <c r="G163" s="171">
        <v>366</v>
      </c>
      <c r="H163" s="171">
        <v>545</v>
      </c>
      <c r="I163" s="170">
        <f t="shared" si="1"/>
        <v>911</v>
      </c>
      <c r="J163" s="173" t="s">
        <v>291</v>
      </c>
      <c r="K163" s="296"/>
    </row>
    <row r="164" spans="1:11" s="83" customFormat="1" ht="19.5" customHeight="1" outlineLevel="1">
      <c r="A164" s="334"/>
      <c r="B164" s="168" t="s">
        <v>271</v>
      </c>
      <c r="C164" s="173" t="s">
        <v>231</v>
      </c>
      <c r="D164" s="171">
        <f>477-415</f>
        <v>62</v>
      </c>
      <c r="E164" s="171">
        <f>750-646</f>
        <v>104</v>
      </c>
      <c r="F164" s="170">
        <f t="shared" si="0"/>
        <v>166</v>
      </c>
      <c r="G164" s="171">
        <v>477</v>
      </c>
      <c r="H164" s="171">
        <v>750</v>
      </c>
      <c r="I164" s="170">
        <f t="shared" si="1"/>
        <v>1227</v>
      </c>
      <c r="J164" s="173" t="s">
        <v>291</v>
      </c>
      <c r="K164" s="296"/>
    </row>
    <row r="165" spans="1:11" s="83" customFormat="1" ht="19.5" customHeight="1" outlineLevel="1">
      <c r="A165" s="334"/>
      <c r="B165" s="177" t="s">
        <v>400</v>
      </c>
      <c r="C165" s="173" t="s">
        <v>231</v>
      </c>
      <c r="D165" s="171">
        <f>85-73</f>
        <v>12</v>
      </c>
      <c r="E165" s="171">
        <f>192-167</f>
        <v>25</v>
      </c>
      <c r="F165" s="170">
        <f t="shared" si="0"/>
        <v>37</v>
      </c>
      <c r="G165" s="171">
        <v>85</v>
      </c>
      <c r="H165" s="171">
        <v>192</v>
      </c>
      <c r="I165" s="170">
        <f t="shared" si="1"/>
        <v>277</v>
      </c>
      <c r="J165" s="173" t="s">
        <v>291</v>
      </c>
      <c r="K165" s="296"/>
    </row>
    <row r="166" spans="1:11" s="85" customFormat="1" ht="30" customHeight="1" outlineLevel="1">
      <c r="A166" s="334">
        <v>4</v>
      </c>
      <c r="B166" s="176" t="s">
        <v>373</v>
      </c>
      <c r="C166" s="173" t="s">
        <v>231</v>
      </c>
      <c r="D166" s="175" t="s">
        <v>291</v>
      </c>
      <c r="E166" s="175" t="s">
        <v>291</v>
      </c>
      <c r="F166" s="170">
        <f>I166-3072</f>
        <v>474</v>
      </c>
      <c r="G166" s="175" t="s">
        <v>291</v>
      </c>
      <c r="H166" s="175" t="s">
        <v>291</v>
      </c>
      <c r="I166" s="170">
        <v>3546</v>
      </c>
      <c r="J166" s="173" t="s">
        <v>291</v>
      </c>
      <c r="K166" s="298"/>
    </row>
    <row r="167" spans="1:11" s="85" customFormat="1" ht="19.5" customHeight="1" outlineLevel="1">
      <c r="A167" s="334"/>
      <c r="B167" s="180" t="s">
        <v>403</v>
      </c>
      <c r="C167" s="173" t="s">
        <v>231</v>
      </c>
      <c r="D167" s="175" t="s">
        <v>291</v>
      </c>
      <c r="E167" s="175" t="s">
        <v>291</v>
      </c>
      <c r="F167" s="170">
        <f>738-600</f>
        <v>138</v>
      </c>
      <c r="G167" s="175" t="s">
        <v>291</v>
      </c>
      <c r="H167" s="175" t="s">
        <v>291</v>
      </c>
      <c r="I167" s="170">
        <v>738</v>
      </c>
      <c r="J167" s="173" t="s">
        <v>291</v>
      </c>
      <c r="K167" s="298"/>
    </row>
    <row r="168" spans="1:11" s="85" customFormat="1" ht="30" customHeight="1" outlineLevel="1">
      <c r="A168" s="334"/>
      <c r="B168" s="180" t="s">
        <v>272</v>
      </c>
      <c r="C168" s="173" t="s">
        <v>231</v>
      </c>
      <c r="D168" s="175" t="s">
        <v>291</v>
      </c>
      <c r="E168" s="175" t="s">
        <v>291</v>
      </c>
      <c r="F168" s="170">
        <f>1965-1664</f>
        <v>301</v>
      </c>
      <c r="G168" s="175" t="s">
        <v>291</v>
      </c>
      <c r="H168" s="175" t="s">
        <v>291</v>
      </c>
      <c r="I168" s="170">
        <v>1965</v>
      </c>
      <c r="J168" s="173" t="s">
        <v>291</v>
      </c>
      <c r="K168" s="298"/>
    </row>
    <row r="169" spans="1:11" s="85" customFormat="1" ht="19.5" customHeight="1" outlineLevel="1">
      <c r="A169" s="334"/>
      <c r="B169" s="168" t="s">
        <v>273</v>
      </c>
      <c r="C169" s="173" t="s">
        <v>231</v>
      </c>
      <c r="D169" s="175" t="s">
        <v>291</v>
      </c>
      <c r="E169" s="175" t="s">
        <v>291</v>
      </c>
      <c r="F169" s="170">
        <f>90-66</f>
        <v>24</v>
      </c>
      <c r="G169" s="175" t="s">
        <v>291</v>
      </c>
      <c r="H169" s="175" t="s">
        <v>291</v>
      </c>
      <c r="I169" s="170">
        <v>90</v>
      </c>
      <c r="J169" s="173" t="s">
        <v>291</v>
      </c>
      <c r="K169" s="298"/>
    </row>
    <row r="170" spans="1:11" s="85" customFormat="1" ht="19.5" customHeight="1" outlineLevel="1">
      <c r="A170" s="334"/>
      <c r="B170" s="176" t="s">
        <v>274</v>
      </c>
      <c r="C170" s="173" t="s">
        <v>231</v>
      </c>
      <c r="D170" s="175" t="s">
        <v>291</v>
      </c>
      <c r="E170" s="175" t="s">
        <v>291</v>
      </c>
      <c r="F170" s="170">
        <f>1007-805</f>
        <v>202</v>
      </c>
      <c r="G170" s="175" t="s">
        <v>291</v>
      </c>
      <c r="H170" s="175" t="s">
        <v>291</v>
      </c>
      <c r="I170" s="170">
        <v>1007</v>
      </c>
      <c r="J170" s="173" t="s">
        <v>291</v>
      </c>
      <c r="K170" s="298"/>
    </row>
    <row r="171" spans="1:11" s="85" customFormat="1" ht="19.5" customHeight="1" outlineLevel="1">
      <c r="A171" s="334"/>
      <c r="B171" s="183" t="s">
        <v>275</v>
      </c>
      <c r="C171" s="173" t="s">
        <v>231</v>
      </c>
      <c r="D171" s="175" t="s">
        <v>291</v>
      </c>
      <c r="E171" s="175" t="s">
        <v>291</v>
      </c>
      <c r="F171" s="170">
        <f>1302-1131</f>
        <v>171</v>
      </c>
      <c r="G171" s="175" t="s">
        <v>291</v>
      </c>
      <c r="H171" s="175" t="s">
        <v>291</v>
      </c>
      <c r="I171" s="170">
        <v>1302</v>
      </c>
      <c r="J171" s="173" t="s">
        <v>291</v>
      </c>
      <c r="K171" s="298"/>
    </row>
    <row r="172" spans="1:11" s="85" customFormat="1" ht="19.5" customHeight="1" outlineLevel="1">
      <c r="A172" s="334"/>
      <c r="B172" s="189" t="s">
        <v>404</v>
      </c>
      <c r="C172" s="173" t="s">
        <v>231</v>
      </c>
      <c r="D172" s="175" t="s">
        <v>291</v>
      </c>
      <c r="E172" s="175" t="s">
        <v>291</v>
      </c>
      <c r="F172" s="170">
        <f>293-256</f>
        <v>37</v>
      </c>
      <c r="G172" s="175" t="s">
        <v>291</v>
      </c>
      <c r="H172" s="175" t="s">
        <v>291</v>
      </c>
      <c r="I172" s="170">
        <v>293</v>
      </c>
      <c r="J172" s="173" t="s">
        <v>291</v>
      </c>
      <c r="K172" s="298"/>
    </row>
    <row r="173" spans="1:11" s="83" customFormat="1" ht="19.5" customHeight="1" outlineLevel="1">
      <c r="A173" s="167" t="s">
        <v>300</v>
      </c>
      <c r="B173" s="168" t="s">
        <v>297</v>
      </c>
      <c r="C173" s="173" t="s">
        <v>231</v>
      </c>
      <c r="D173" s="175" t="s">
        <v>291</v>
      </c>
      <c r="E173" s="175" t="s">
        <v>291</v>
      </c>
      <c r="F173" s="175" t="s">
        <v>291</v>
      </c>
      <c r="G173" s="175" t="s">
        <v>291</v>
      </c>
      <c r="H173" s="175" t="s">
        <v>291</v>
      </c>
      <c r="I173" s="175" t="s">
        <v>291</v>
      </c>
      <c r="J173" s="175" t="s">
        <v>291</v>
      </c>
      <c r="K173" s="296"/>
    </row>
    <row r="174" spans="1:11" s="70" customFormat="1" ht="24.75" customHeight="1">
      <c r="A174" s="302" t="s">
        <v>276</v>
      </c>
      <c r="B174" s="303"/>
      <c r="C174" s="303"/>
      <c r="D174" s="303"/>
      <c r="E174" s="303"/>
      <c r="F174" s="303"/>
      <c r="G174" s="303"/>
      <c r="H174" s="303"/>
      <c r="I174" s="303"/>
      <c r="J174" s="304"/>
      <c r="K174" s="290"/>
    </row>
    <row r="175" spans="1:11" s="83" customFormat="1" ht="15.75" outlineLevel="1">
      <c r="A175" s="334">
        <v>1</v>
      </c>
      <c r="B175" s="176" t="s">
        <v>348</v>
      </c>
      <c r="C175" s="173" t="s">
        <v>231</v>
      </c>
      <c r="D175" s="171">
        <f>340-245</f>
        <v>95</v>
      </c>
      <c r="E175" s="171">
        <f>360-241</f>
        <v>119</v>
      </c>
      <c r="F175" s="170">
        <f>D175+E175</f>
        <v>214</v>
      </c>
      <c r="G175" s="171">
        <v>340</v>
      </c>
      <c r="H175" s="171">
        <v>360</v>
      </c>
      <c r="I175" s="170">
        <f>G175+H175</f>
        <v>700</v>
      </c>
      <c r="J175" s="173" t="s">
        <v>291</v>
      </c>
      <c r="K175" s="296"/>
    </row>
    <row r="176" spans="1:11" s="83" customFormat="1" ht="19.5" customHeight="1" outlineLevel="1">
      <c r="A176" s="334"/>
      <c r="B176" s="180" t="s">
        <v>398</v>
      </c>
      <c r="C176" s="173" t="s">
        <v>231</v>
      </c>
      <c r="D176" s="171">
        <f>55-41</f>
        <v>14</v>
      </c>
      <c r="E176" s="171">
        <f>77-52</f>
        <v>25</v>
      </c>
      <c r="F176" s="170">
        <f aca="true" t="shared" si="2" ref="F176:F193">D176+E176</f>
        <v>39</v>
      </c>
      <c r="G176" s="171">
        <v>55</v>
      </c>
      <c r="H176" s="171">
        <v>77</v>
      </c>
      <c r="I176" s="170">
        <f aca="true" t="shared" si="3" ref="I176:I193">G176+H176</f>
        <v>132</v>
      </c>
      <c r="J176" s="173" t="s">
        <v>291</v>
      </c>
      <c r="K176" s="296"/>
    </row>
    <row r="177" spans="1:11" s="83" customFormat="1" ht="19.5" customHeight="1" outlineLevel="1">
      <c r="A177" s="334"/>
      <c r="B177" s="180" t="s">
        <v>399</v>
      </c>
      <c r="C177" s="173" t="s">
        <v>231</v>
      </c>
      <c r="D177" s="171">
        <f>25-19</f>
        <v>6</v>
      </c>
      <c r="E177" s="171">
        <f>34-21</f>
        <v>13</v>
      </c>
      <c r="F177" s="170">
        <f t="shared" si="2"/>
        <v>19</v>
      </c>
      <c r="G177" s="171">
        <v>25</v>
      </c>
      <c r="H177" s="171">
        <v>34</v>
      </c>
      <c r="I177" s="170">
        <f t="shared" si="3"/>
        <v>59</v>
      </c>
      <c r="J177" s="173" t="s">
        <v>291</v>
      </c>
      <c r="K177" s="296"/>
    </row>
    <row r="178" spans="1:11" s="83" customFormat="1" ht="15.75" outlineLevel="1">
      <c r="A178" s="334"/>
      <c r="B178" s="180" t="s">
        <v>267</v>
      </c>
      <c r="C178" s="173" t="s">
        <v>231</v>
      </c>
      <c r="D178" s="171">
        <f>196-144</f>
        <v>52</v>
      </c>
      <c r="E178" s="171">
        <f>190-131</f>
        <v>59</v>
      </c>
      <c r="F178" s="170">
        <f t="shared" si="2"/>
        <v>111</v>
      </c>
      <c r="G178" s="171">
        <v>196</v>
      </c>
      <c r="H178" s="171">
        <v>190</v>
      </c>
      <c r="I178" s="170">
        <f t="shared" si="3"/>
        <v>386</v>
      </c>
      <c r="J178" s="173" t="s">
        <v>291</v>
      </c>
      <c r="K178" s="296"/>
    </row>
    <row r="179" spans="1:11" s="83" customFormat="1" ht="19.5" customHeight="1" outlineLevel="1">
      <c r="A179" s="334"/>
      <c r="B179" s="176" t="s">
        <v>268</v>
      </c>
      <c r="C179" s="173" t="s">
        <v>231</v>
      </c>
      <c r="D179" s="171">
        <f>26-13</f>
        <v>13</v>
      </c>
      <c r="E179" s="171">
        <f>21-13</f>
        <v>8</v>
      </c>
      <c r="F179" s="170">
        <f t="shared" si="2"/>
        <v>21</v>
      </c>
      <c r="G179" s="171">
        <v>26</v>
      </c>
      <c r="H179" s="171">
        <v>21</v>
      </c>
      <c r="I179" s="170">
        <f t="shared" si="3"/>
        <v>47</v>
      </c>
      <c r="J179" s="173" t="s">
        <v>291</v>
      </c>
      <c r="K179" s="296"/>
    </row>
    <row r="180" spans="1:11" s="83" customFormat="1" ht="19.5" customHeight="1" outlineLevel="1">
      <c r="A180" s="334"/>
      <c r="B180" s="176" t="s">
        <v>269</v>
      </c>
      <c r="C180" s="173" t="s">
        <v>231</v>
      </c>
      <c r="D180" s="171">
        <f>66-45</f>
        <v>21</v>
      </c>
      <c r="E180" s="171">
        <f>64-45</f>
        <v>19</v>
      </c>
      <c r="F180" s="170">
        <f t="shared" si="2"/>
        <v>40</v>
      </c>
      <c r="G180" s="171">
        <v>66</v>
      </c>
      <c r="H180" s="171">
        <v>64</v>
      </c>
      <c r="I180" s="170">
        <f t="shared" si="3"/>
        <v>130</v>
      </c>
      <c r="J180" s="173" t="s">
        <v>291</v>
      </c>
      <c r="K180" s="296"/>
    </row>
    <row r="181" spans="1:11" s="83" customFormat="1" ht="19.5" customHeight="1" outlineLevel="1">
      <c r="A181" s="334"/>
      <c r="B181" s="176" t="s">
        <v>270</v>
      </c>
      <c r="C181" s="173" t="s">
        <v>231</v>
      </c>
      <c r="D181" s="171">
        <f>145-115</f>
        <v>30</v>
      </c>
      <c r="E181" s="171">
        <f>143-98</f>
        <v>45</v>
      </c>
      <c r="F181" s="170">
        <f t="shared" si="2"/>
        <v>75</v>
      </c>
      <c r="G181" s="171">
        <v>145</v>
      </c>
      <c r="H181" s="171">
        <v>143</v>
      </c>
      <c r="I181" s="170">
        <f t="shared" si="3"/>
        <v>288</v>
      </c>
      <c r="J181" s="173" t="s">
        <v>291</v>
      </c>
      <c r="K181" s="296"/>
    </row>
    <row r="182" spans="1:11" s="83" customFormat="1" ht="19.5" customHeight="1" outlineLevel="1">
      <c r="A182" s="334"/>
      <c r="B182" s="180" t="s">
        <v>400</v>
      </c>
      <c r="C182" s="173" t="s">
        <v>231</v>
      </c>
      <c r="D182" s="171">
        <f>31-12</f>
        <v>19</v>
      </c>
      <c r="E182" s="171">
        <f>47-31</f>
        <v>16</v>
      </c>
      <c r="F182" s="170">
        <f t="shared" si="2"/>
        <v>35</v>
      </c>
      <c r="G182" s="171">
        <v>31</v>
      </c>
      <c r="H182" s="171">
        <v>47</v>
      </c>
      <c r="I182" s="170">
        <f t="shared" si="3"/>
        <v>78</v>
      </c>
      <c r="J182" s="173" t="s">
        <v>291</v>
      </c>
      <c r="K182" s="296"/>
    </row>
    <row r="183" spans="1:11" s="83" customFormat="1" ht="23.25" customHeight="1" outlineLevel="1">
      <c r="A183" s="334"/>
      <c r="B183" s="180" t="s">
        <v>401</v>
      </c>
      <c r="C183" s="173" t="s">
        <v>231</v>
      </c>
      <c r="D183" s="171">
        <f>212-140</f>
        <v>72</v>
      </c>
      <c r="E183" s="171">
        <f>238-142</f>
        <v>96</v>
      </c>
      <c r="F183" s="170">
        <f t="shared" si="2"/>
        <v>168</v>
      </c>
      <c r="G183" s="171">
        <v>212</v>
      </c>
      <c r="H183" s="171">
        <v>238</v>
      </c>
      <c r="I183" s="170">
        <f t="shared" si="3"/>
        <v>450</v>
      </c>
      <c r="J183" s="173" t="s">
        <v>291</v>
      </c>
      <c r="K183" s="296"/>
    </row>
    <row r="184" spans="1:11" s="85" customFormat="1" ht="19.5" customHeight="1" outlineLevel="1">
      <c r="A184" s="336">
        <v>2</v>
      </c>
      <c r="B184" s="168" t="s">
        <v>175</v>
      </c>
      <c r="C184" s="173" t="s">
        <v>231</v>
      </c>
      <c r="D184" s="169">
        <f>G184-209</f>
        <v>28</v>
      </c>
      <c r="E184" s="169">
        <f>H184-243</f>
        <v>29</v>
      </c>
      <c r="F184" s="170">
        <f t="shared" si="2"/>
        <v>57</v>
      </c>
      <c r="G184" s="169">
        <v>237</v>
      </c>
      <c r="H184" s="169">
        <v>272</v>
      </c>
      <c r="I184" s="170">
        <f t="shared" si="3"/>
        <v>509</v>
      </c>
      <c r="J184" s="173" t="s">
        <v>291</v>
      </c>
      <c r="K184" s="298"/>
    </row>
    <row r="185" spans="1:11" s="85" customFormat="1" ht="22.5" customHeight="1" outlineLevel="1">
      <c r="A185" s="336"/>
      <c r="B185" s="177" t="s">
        <v>398</v>
      </c>
      <c r="C185" s="173" t="s">
        <v>231</v>
      </c>
      <c r="D185" s="169">
        <f>G185-23</f>
        <v>2</v>
      </c>
      <c r="E185" s="169">
        <f>H185-43</f>
        <v>8</v>
      </c>
      <c r="F185" s="170">
        <f t="shared" si="2"/>
        <v>10</v>
      </c>
      <c r="G185" s="169">
        <v>25</v>
      </c>
      <c r="H185" s="169">
        <v>51</v>
      </c>
      <c r="I185" s="170">
        <f t="shared" si="3"/>
        <v>76</v>
      </c>
      <c r="J185" s="173" t="s">
        <v>291</v>
      </c>
      <c r="K185" s="298"/>
    </row>
    <row r="186" spans="1:11" s="85" customFormat="1" ht="15.75" outlineLevel="1">
      <c r="A186" s="336"/>
      <c r="B186" s="177" t="s">
        <v>267</v>
      </c>
      <c r="C186" s="173" t="s">
        <v>231</v>
      </c>
      <c r="D186" s="169">
        <f>G186-108</f>
        <v>17</v>
      </c>
      <c r="E186" s="169">
        <f>H186-122</f>
        <v>19</v>
      </c>
      <c r="F186" s="170">
        <f t="shared" si="2"/>
        <v>36</v>
      </c>
      <c r="G186" s="169">
        <v>125</v>
      </c>
      <c r="H186" s="169">
        <v>141</v>
      </c>
      <c r="I186" s="170">
        <f t="shared" si="3"/>
        <v>266</v>
      </c>
      <c r="J186" s="173" t="s">
        <v>291</v>
      </c>
      <c r="K186" s="298"/>
    </row>
    <row r="187" spans="1:11" s="85" customFormat="1" ht="19.5" customHeight="1" outlineLevel="1">
      <c r="A187" s="336"/>
      <c r="B187" s="168" t="s">
        <v>268</v>
      </c>
      <c r="C187" s="173" t="s">
        <v>231</v>
      </c>
      <c r="D187" s="169">
        <f>G187-15</f>
        <v>1</v>
      </c>
      <c r="E187" s="169">
        <f>H187-12</f>
        <v>3</v>
      </c>
      <c r="F187" s="170">
        <f t="shared" si="2"/>
        <v>4</v>
      </c>
      <c r="G187" s="169">
        <v>16</v>
      </c>
      <c r="H187" s="169">
        <v>15</v>
      </c>
      <c r="I187" s="170">
        <f t="shared" si="3"/>
        <v>31</v>
      </c>
      <c r="J187" s="173" t="s">
        <v>291</v>
      </c>
      <c r="K187" s="298"/>
    </row>
    <row r="188" spans="1:11" s="85" customFormat="1" ht="19.5" customHeight="1" outlineLevel="1">
      <c r="A188" s="336"/>
      <c r="B188" s="168" t="s">
        <v>269</v>
      </c>
      <c r="C188" s="173" t="s">
        <v>231</v>
      </c>
      <c r="D188" s="169">
        <f>G188-38</f>
        <v>5</v>
      </c>
      <c r="E188" s="169">
        <f>H188-43</f>
        <v>8</v>
      </c>
      <c r="F188" s="170">
        <f t="shared" si="2"/>
        <v>13</v>
      </c>
      <c r="G188" s="169">
        <v>43</v>
      </c>
      <c r="H188" s="169">
        <v>51</v>
      </c>
      <c r="I188" s="170">
        <f t="shared" si="3"/>
        <v>94</v>
      </c>
      <c r="J188" s="173" t="s">
        <v>291</v>
      </c>
      <c r="K188" s="298"/>
    </row>
    <row r="189" spans="1:11" s="85" customFormat="1" ht="19.5" customHeight="1" outlineLevel="1">
      <c r="A189" s="336"/>
      <c r="B189" s="168" t="s">
        <v>271</v>
      </c>
      <c r="C189" s="173" t="s">
        <v>231</v>
      </c>
      <c r="D189" s="169">
        <f>G189-71</f>
        <v>13</v>
      </c>
      <c r="E189" s="169">
        <f>H189-89</f>
        <v>15</v>
      </c>
      <c r="F189" s="170">
        <f t="shared" si="2"/>
        <v>28</v>
      </c>
      <c r="G189" s="169">
        <v>84</v>
      </c>
      <c r="H189" s="169">
        <v>104</v>
      </c>
      <c r="I189" s="170">
        <f t="shared" si="3"/>
        <v>188</v>
      </c>
      <c r="J189" s="173" t="s">
        <v>291</v>
      </c>
      <c r="K189" s="298"/>
    </row>
    <row r="190" spans="1:11" s="85" customFormat="1" ht="19.5" customHeight="1" outlineLevel="1">
      <c r="A190" s="336"/>
      <c r="B190" s="177" t="s">
        <v>400</v>
      </c>
      <c r="C190" s="173" t="s">
        <v>231</v>
      </c>
      <c r="D190" s="169">
        <f>G190-22</f>
        <v>1</v>
      </c>
      <c r="E190" s="169">
        <f>H190-31</f>
        <v>6</v>
      </c>
      <c r="F190" s="170">
        <f t="shared" si="2"/>
        <v>7</v>
      </c>
      <c r="G190" s="169">
        <v>23</v>
      </c>
      <c r="H190" s="169">
        <v>37</v>
      </c>
      <c r="I190" s="170">
        <f t="shared" si="3"/>
        <v>60</v>
      </c>
      <c r="J190" s="173" t="s">
        <v>291</v>
      </c>
      <c r="K190" s="298"/>
    </row>
    <row r="191" spans="1:11" s="85" customFormat="1" ht="19.5" customHeight="1" outlineLevel="1">
      <c r="A191" s="335">
        <v>3</v>
      </c>
      <c r="B191" s="168" t="s">
        <v>143</v>
      </c>
      <c r="C191" s="173">
        <v>47</v>
      </c>
      <c r="D191" s="169">
        <v>0</v>
      </c>
      <c r="E191" s="169">
        <v>0</v>
      </c>
      <c r="F191" s="170">
        <f t="shared" si="2"/>
        <v>0</v>
      </c>
      <c r="G191" s="169">
        <v>0</v>
      </c>
      <c r="H191" s="169">
        <v>0</v>
      </c>
      <c r="I191" s="170">
        <f t="shared" si="3"/>
        <v>0</v>
      </c>
      <c r="J191" s="173">
        <v>0</v>
      </c>
      <c r="K191" s="298"/>
    </row>
    <row r="192" spans="1:11" s="85" customFormat="1" ht="19.5" customHeight="1" outlineLevel="1">
      <c r="A192" s="336"/>
      <c r="B192" s="180" t="s">
        <v>39</v>
      </c>
      <c r="C192" s="205" t="s">
        <v>231</v>
      </c>
      <c r="D192" s="179">
        <v>0</v>
      </c>
      <c r="E192" s="179">
        <v>0</v>
      </c>
      <c r="F192" s="170">
        <f t="shared" si="2"/>
        <v>0</v>
      </c>
      <c r="G192" s="179">
        <v>0</v>
      </c>
      <c r="H192" s="179">
        <v>0</v>
      </c>
      <c r="I192" s="170">
        <f t="shared" si="3"/>
        <v>0</v>
      </c>
      <c r="J192" s="205" t="s">
        <v>291</v>
      </c>
      <c r="K192" s="298"/>
    </row>
    <row r="193" spans="1:11" s="85" customFormat="1" ht="19.5" customHeight="1" outlineLevel="1">
      <c r="A193" s="337"/>
      <c r="B193" s="180" t="s">
        <v>400</v>
      </c>
      <c r="C193" s="205" t="s">
        <v>231</v>
      </c>
      <c r="D193" s="179">
        <v>0</v>
      </c>
      <c r="E193" s="179">
        <v>0</v>
      </c>
      <c r="F193" s="170">
        <f t="shared" si="2"/>
        <v>0</v>
      </c>
      <c r="G193" s="179">
        <v>0</v>
      </c>
      <c r="H193" s="179">
        <v>0</v>
      </c>
      <c r="I193" s="170">
        <f t="shared" si="3"/>
        <v>0</v>
      </c>
      <c r="J193" s="205" t="s">
        <v>291</v>
      </c>
      <c r="K193" s="298"/>
    </row>
    <row r="194" spans="1:11" s="85" customFormat="1" ht="30" customHeight="1" outlineLevel="1">
      <c r="A194" s="334">
        <v>4</v>
      </c>
      <c r="B194" s="176" t="s">
        <v>373</v>
      </c>
      <c r="C194" s="173" t="s">
        <v>231</v>
      </c>
      <c r="D194" s="175" t="s">
        <v>291</v>
      </c>
      <c r="E194" s="175" t="s">
        <v>291</v>
      </c>
      <c r="F194" s="203">
        <f>509-452</f>
        <v>57</v>
      </c>
      <c r="G194" s="175" t="s">
        <v>291</v>
      </c>
      <c r="H194" s="175" t="s">
        <v>291</v>
      </c>
      <c r="I194" s="203">
        <v>509</v>
      </c>
      <c r="J194" s="173" t="s">
        <v>291</v>
      </c>
      <c r="K194" s="298"/>
    </row>
    <row r="195" spans="1:11" s="85" customFormat="1" ht="21.75" customHeight="1" outlineLevel="1">
      <c r="A195" s="334"/>
      <c r="B195" s="180" t="s">
        <v>403</v>
      </c>
      <c r="C195" s="173" t="s">
        <v>231</v>
      </c>
      <c r="D195" s="175" t="s">
        <v>291</v>
      </c>
      <c r="E195" s="175" t="s">
        <v>291</v>
      </c>
      <c r="F195" s="203">
        <f>76-66</f>
        <v>10</v>
      </c>
      <c r="G195" s="175" t="s">
        <v>291</v>
      </c>
      <c r="H195" s="175" t="s">
        <v>291</v>
      </c>
      <c r="I195" s="203">
        <v>76</v>
      </c>
      <c r="J195" s="173" t="s">
        <v>291</v>
      </c>
      <c r="K195" s="298"/>
    </row>
    <row r="196" spans="1:11" s="85" customFormat="1" ht="30" customHeight="1" outlineLevel="1">
      <c r="A196" s="334"/>
      <c r="B196" s="180" t="s">
        <v>272</v>
      </c>
      <c r="C196" s="173" t="s">
        <v>231</v>
      </c>
      <c r="D196" s="175" t="s">
        <v>291</v>
      </c>
      <c r="E196" s="175" t="s">
        <v>291</v>
      </c>
      <c r="F196" s="203">
        <f>266-230</f>
        <v>36</v>
      </c>
      <c r="G196" s="175" t="s">
        <v>291</v>
      </c>
      <c r="H196" s="175" t="s">
        <v>291</v>
      </c>
      <c r="I196" s="203">
        <v>266</v>
      </c>
      <c r="J196" s="173" t="s">
        <v>291</v>
      </c>
      <c r="K196" s="298"/>
    </row>
    <row r="197" spans="1:11" s="85" customFormat="1" ht="24.75" customHeight="1" outlineLevel="1">
      <c r="A197" s="334"/>
      <c r="B197" s="168" t="s">
        <v>273</v>
      </c>
      <c r="C197" s="173" t="s">
        <v>231</v>
      </c>
      <c r="D197" s="175" t="s">
        <v>291</v>
      </c>
      <c r="E197" s="175" t="s">
        <v>291</v>
      </c>
      <c r="F197" s="203">
        <f>31-27</f>
        <v>4</v>
      </c>
      <c r="G197" s="175" t="s">
        <v>291</v>
      </c>
      <c r="H197" s="175" t="s">
        <v>291</v>
      </c>
      <c r="I197" s="203">
        <v>31</v>
      </c>
      <c r="J197" s="173" t="s">
        <v>291</v>
      </c>
      <c r="K197" s="298"/>
    </row>
    <row r="198" spans="1:11" s="85" customFormat="1" ht="24.75" customHeight="1" outlineLevel="1">
      <c r="A198" s="334"/>
      <c r="B198" s="176" t="s">
        <v>274</v>
      </c>
      <c r="C198" s="173" t="s">
        <v>231</v>
      </c>
      <c r="D198" s="175" t="s">
        <v>291</v>
      </c>
      <c r="E198" s="175" t="s">
        <v>291</v>
      </c>
      <c r="F198" s="203">
        <f>94-81</f>
        <v>13</v>
      </c>
      <c r="G198" s="175" t="s">
        <v>291</v>
      </c>
      <c r="H198" s="175" t="s">
        <v>291</v>
      </c>
      <c r="I198" s="203">
        <v>94</v>
      </c>
      <c r="J198" s="173" t="s">
        <v>291</v>
      </c>
      <c r="K198" s="298"/>
    </row>
    <row r="199" spans="1:11" s="85" customFormat="1" ht="24.75" customHeight="1" outlineLevel="1">
      <c r="A199" s="334"/>
      <c r="B199" s="183" t="s">
        <v>277</v>
      </c>
      <c r="C199" s="173" t="s">
        <v>231</v>
      </c>
      <c r="D199" s="175" t="s">
        <v>291</v>
      </c>
      <c r="E199" s="175" t="s">
        <v>291</v>
      </c>
      <c r="F199" s="203">
        <f>188-160</f>
        <v>28</v>
      </c>
      <c r="G199" s="175" t="s">
        <v>291</v>
      </c>
      <c r="H199" s="175" t="s">
        <v>291</v>
      </c>
      <c r="I199" s="203">
        <v>188</v>
      </c>
      <c r="J199" s="173" t="s">
        <v>291</v>
      </c>
      <c r="K199" s="298"/>
    </row>
    <row r="200" spans="1:11" s="85" customFormat="1" ht="24.75" customHeight="1" outlineLevel="1">
      <c r="A200" s="334"/>
      <c r="B200" s="189" t="s">
        <v>404</v>
      </c>
      <c r="C200" s="173" t="s">
        <v>231</v>
      </c>
      <c r="D200" s="175" t="s">
        <v>291</v>
      </c>
      <c r="E200" s="175" t="s">
        <v>291</v>
      </c>
      <c r="F200" s="203">
        <f>60-53</f>
        <v>7</v>
      </c>
      <c r="G200" s="175" t="s">
        <v>291</v>
      </c>
      <c r="H200" s="175" t="s">
        <v>291</v>
      </c>
      <c r="I200" s="203">
        <v>60</v>
      </c>
      <c r="J200" s="173" t="s">
        <v>291</v>
      </c>
      <c r="K200" s="298"/>
    </row>
    <row r="201" spans="1:11" s="85" customFormat="1" ht="21" customHeight="1" outlineLevel="1">
      <c r="A201" s="187">
        <v>5</v>
      </c>
      <c r="B201" s="190" t="s">
        <v>40</v>
      </c>
      <c r="C201" s="205" t="s">
        <v>231</v>
      </c>
      <c r="D201" s="188">
        <v>0</v>
      </c>
      <c r="E201" s="188">
        <v>0</v>
      </c>
      <c r="F201" s="204">
        <v>0</v>
      </c>
      <c r="G201" s="188">
        <v>0</v>
      </c>
      <c r="H201" s="188">
        <v>0</v>
      </c>
      <c r="I201" s="204">
        <v>0</v>
      </c>
      <c r="J201" s="205" t="s">
        <v>291</v>
      </c>
      <c r="K201" s="298"/>
    </row>
    <row r="202" spans="1:11" s="85" customFormat="1" ht="21" customHeight="1" outlineLevel="1">
      <c r="A202" s="187">
        <v>6</v>
      </c>
      <c r="B202" s="190" t="s">
        <v>41</v>
      </c>
      <c r="C202" s="205" t="s">
        <v>231</v>
      </c>
      <c r="D202" s="188">
        <v>0</v>
      </c>
      <c r="E202" s="188">
        <v>0</v>
      </c>
      <c r="F202" s="204">
        <v>0</v>
      </c>
      <c r="G202" s="188">
        <v>0</v>
      </c>
      <c r="H202" s="188">
        <v>0</v>
      </c>
      <c r="I202" s="204">
        <v>0</v>
      </c>
      <c r="J202" s="205" t="s">
        <v>291</v>
      </c>
      <c r="K202" s="298"/>
    </row>
    <row r="203" spans="1:11" s="85" customFormat="1" ht="19.5" customHeight="1" outlineLevel="1">
      <c r="A203" s="167" t="s">
        <v>300</v>
      </c>
      <c r="B203" s="168" t="s">
        <v>297</v>
      </c>
      <c r="C203" s="205" t="s">
        <v>231</v>
      </c>
      <c r="D203" s="175" t="s">
        <v>291</v>
      </c>
      <c r="E203" s="175" t="s">
        <v>291</v>
      </c>
      <c r="F203" s="175" t="s">
        <v>291</v>
      </c>
      <c r="G203" s="175" t="s">
        <v>291</v>
      </c>
      <c r="H203" s="175" t="s">
        <v>291</v>
      </c>
      <c r="I203" s="175" t="s">
        <v>291</v>
      </c>
      <c r="J203" s="175" t="s">
        <v>291</v>
      </c>
      <c r="K203" s="298"/>
    </row>
    <row r="204" spans="1:11" s="70" customFormat="1" ht="24.75" customHeight="1">
      <c r="A204" s="302" t="s">
        <v>278</v>
      </c>
      <c r="B204" s="303"/>
      <c r="C204" s="303"/>
      <c r="D204" s="303"/>
      <c r="E204" s="303"/>
      <c r="F204" s="303"/>
      <c r="G204" s="303"/>
      <c r="H204" s="303"/>
      <c r="I204" s="303"/>
      <c r="J204" s="304"/>
      <c r="K204" s="290"/>
    </row>
    <row r="205" spans="1:11" s="83" customFormat="1" ht="15.75" outlineLevel="1">
      <c r="A205" s="334">
        <v>1</v>
      </c>
      <c r="B205" s="176" t="s">
        <v>16</v>
      </c>
      <c r="C205" s="173" t="s">
        <v>231</v>
      </c>
      <c r="D205" s="169">
        <f>556-502</f>
        <v>54</v>
      </c>
      <c r="E205" s="169">
        <f>228-200</f>
        <v>28</v>
      </c>
      <c r="F205" s="203">
        <f>D205+E205</f>
        <v>82</v>
      </c>
      <c r="G205" s="169">
        <v>556</v>
      </c>
      <c r="H205" s="169">
        <v>228</v>
      </c>
      <c r="I205" s="203">
        <f>G205+H205</f>
        <v>784</v>
      </c>
      <c r="J205" s="173" t="s">
        <v>291</v>
      </c>
      <c r="K205" s="296"/>
    </row>
    <row r="206" spans="1:11" s="83" customFormat="1" ht="19.5" customHeight="1" outlineLevel="1">
      <c r="A206" s="334"/>
      <c r="B206" s="180" t="s">
        <v>17</v>
      </c>
      <c r="C206" s="173" t="s">
        <v>231</v>
      </c>
      <c r="D206" s="169">
        <f>129-100</f>
        <v>29</v>
      </c>
      <c r="E206" s="169">
        <f>92-70</f>
        <v>22</v>
      </c>
      <c r="F206" s="203">
        <f aca="true" t="shared" si="4" ref="F206:F213">D206+E206</f>
        <v>51</v>
      </c>
      <c r="G206" s="169">
        <v>129</v>
      </c>
      <c r="H206" s="169">
        <v>92</v>
      </c>
      <c r="I206" s="203">
        <f aca="true" t="shared" si="5" ref="I206:I213">G206+H206</f>
        <v>221</v>
      </c>
      <c r="J206" s="173" t="s">
        <v>291</v>
      </c>
      <c r="K206" s="296"/>
    </row>
    <row r="207" spans="1:11" s="83" customFormat="1" ht="19.5" customHeight="1" outlineLevel="1">
      <c r="A207" s="334"/>
      <c r="B207" s="180" t="s">
        <v>18</v>
      </c>
      <c r="C207" s="173" t="s">
        <v>231</v>
      </c>
      <c r="D207" s="169">
        <f>111-87</f>
        <v>24</v>
      </c>
      <c r="E207" s="169">
        <f>78-62</f>
        <v>16</v>
      </c>
      <c r="F207" s="203">
        <f t="shared" si="4"/>
        <v>40</v>
      </c>
      <c r="G207" s="169">
        <v>111</v>
      </c>
      <c r="H207" s="169">
        <v>78</v>
      </c>
      <c r="I207" s="203">
        <f t="shared" si="5"/>
        <v>189</v>
      </c>
      <c r="J207" s="173" t="s">
        <v>291</v>
      </c>
      <c r="K207" s="296"/>
    </row>
    <row r="208" spans="1:11" s="83" customFormat="1" ht="15.75" outlineLevel="1">
      <c r="A208" s="334"/>
      <c r="B208" s="180" t="s">
        <v>19</v>
      </c>
      <c r="C208" s="173" t="s">
        <v>231</v>
      </c>
      <c r="D208" s="169">
        <f>498-447</f>
        <v>51</v>
      </c>
      <c r="E208" s="169">
        <f>181-158</f>
        <v>23</v>
      </c>
      <c r="F208" s="203">
        <f t="shared" si="4"/>
        <v>74</v>
      </c>
      <c r="G208" s="169">
        <v>498</v>
      </c>
      <c r="H208" s="169">
        <v>181</v>
      </c>
      <c r="I208" s="203">
        <f t="shared" si="5"/>
        <v>679</v>
      </c>
      <c r="J208" s="173" t="s">
        <v>291</v>
      </c>
      <c r="K208" s="296"/>
    </row>
    <row r="209" spans="1:11" s="83" customFormat="1" ht="19.5" customHeight="1" outlineLevel="1">
      <c r="A209" s="334"/>
      <c r="B209" s="176" t="s">
        <v>20</v>
      </c>
      <c r="C209" s="173" t="s">
        <v>231</v>
      </c>
      <c r="D209" s="169">
        <f>28-16</f>
        <v>12</v>
      </c>
      <c r="E209" s="169">
        <f>10-4</f>
        <v>6</v>
      </c>
      <c r="F209" s="203">
        <f t="shared" si="4"/>
        <v>18</v>
      </c>
      <c r="G209" s="169">
        <v>28</v>
      </c>
      <c r="H209" s="169">
        <v>10</v>
      </c>
      <c r="I209" s="203">
        <f t="shared" si="5"/>
        <v>38</v>
      </c>
      <c r="J209" s="173" t="s">
        <v>291</v>
      </c>
      <c r="K209" s="296"/>
    </row>
    <row r="210" spans="1:11" s="83" customFormat="1" ht="19.5" customHeight="1" outlineLevel="1">
      <c r="A210" s="334"/>
      <c r="B210" s="176" t="s">
        <v>21</v>
      </c>
      <c r="C210" s="173" t="s">
        <v>231</v>
      </c>
      <c r="D210" s="169">
        <f>141-129</f>
        <v>12</v>
      </c>
      <c r="E210" s="169">
        <f>27-27</f>
        <v>0</v>
      </c>
      <c r="F210" s="203">
        <f t="shared" si="4"/>
        <v>12</v>
      </c>
      <c r="G210" s="169">
        <v>141</v>
      </c>
      <c r="H210" s="169">
        <v>27</v>
      </c>
      <c r="I210" s="203">
        <f t="shared" si="5"/>
        <v>168</v>
      </c>
      <c r="J210" s="173" t="s">
        <v>291</v>
      </c>
      <c r="K210" s="296"/>
    </row>
    <row r="211" spans="1:11" s="83" customFormat="1" ht="19.5" customHeight="1" outlineLevel="1">
      <c r="A211" s="334"/>
      <c r="B211" s="176" t="s">
        <v>22</v>
      </c>
      <c r="C211" s="173" t="s">
        <v>231</v>
      </c>
      <c r="D211" s="169">
        <f>472-427</f>
        <v>45</v>
      </c>
      <c r="E211" s="169">
        <f>160-143</f>
        <v>17</v>
      </c>
      <c r="F211" s="203">
        <f t="shared" si="4"/>
        <v>62</v>
      </c>
      <c r="G211" s="169">
        <v>472</v>
      </c>
      <c r="H211" s="169">
        <v>160</v>
      </c>
      <c r="I211" s="203">
        <f t="shared" si="5"/>
        <v>632</v>
      </c>
      <c r="J211" s="173" t="s">
        <v>291</v>
      </c>
      <c r="K211" s="296"/>
    </row>
    <row r="212" spans="1:11" s="83" customFormat="1" ht="19.5" customHeight="1" outlineLevel="1">
      <c r="A212" s="334"/>
      <c r="B212" s="180" t="s">
        <v>23</v>
      </c>
      <c r="C212" s="173" t="s">
        <v>231</v>
      </c>
      <c r="D212" s="169">
        <f>115-94</f>
        <v>21</v>
      </c>
      <c r="E212" s="169">
        <f>41-40</f>
        <v>1</v>
      </c>
      <c r="F212" s="203">
        <f t="shared" si="4"/>
        <v>22</v>
      </c>
      <c r="G212" s="169">
        <v>115</v>
      </c>
      <c r="H212" s="169">
        <v>41</v>
      </c>
      <c r="I212" s="203">
        <f t="shared" si="5"/>
        <v>156</v>
      </c>
      <c r="J212" s="173" t="s">
        <v>291</v>
      </c>
      <c r="K212" s="296"/>
    </row>
    <row r="213" spans="1:11" s="83" customFormat="1" ht="24" customHeight="1" outlineLevel="1">
      <c r="A213" s="334"/>
      <c r="B213" s="180" t="s">
        <v>24</v>
      </c>
      <c r="C213" s="173" t="s">
        <v>231</v>
      </c>
      <c r="D213" s="169">
        <f>105-99</f>
        <v>6</v>
      </c>
      <c r="E213" s="169">
        <f>12-6</f>
        <v>6</v>
      </c>
      <c r="F213" s="203">
        <f t="shared" si="4"/>
        <v>12</v>
      </c>
      <c r="G213" s="169">
        <v>105</v>
      </c>
      <c r="H213" s="169">
        <v>12</v>
      </c>
      <c r="I213" s="203">
        <f t="shared" si="5"/>
        <v>117</v>
      </c>
      <c r="J213" s="173" t="s">
        <v>291</v>
      </c>
      <c r="K213" s="296"/>
    </row>
    <row r="214" spans="1:11" s="85" customFormat="1" ht="19.5" customHeight="1" outlineLevel="1">
      <c r="A214" s="185">
        <v>2</v>
      </c>
      <c r="B214" s="176" t="s">
        <v>25</v>
      </c>
      <c r="C214" s="173" t="s">
        <v>231</v>
      </c>
      <c r="D214" s="175" t="s">
        <v>291</v>
      </c>
      <c r="E214" s="175" t="s">
        <v>291</v>
      </c>
      <c r="F214" s="170">
        <v>0</v>
      </c>
      <c r="G214" s="175" t="s">
        <v>291</v>
      </c>
      <c r="H214" s="175" t="s">
        <v>291</v>
      </c>
      <c r="I214" s="170">
        <v>52</v>
      </c>
      <c r="J214" s="173" t="s">
        <v>291</v>
      </c>
      <c r="K214" s="298"/>
    </row>
    <row r="215" spans="1:11" s="85" customFormat="1" ht="19.5" customHeight="1" outlineLevel="1">
      <c r="A215" s="167" t="s">
        <v>300</v>
      </c>
      <c r="B215" s="168" t="s">
        <v>297</v>
      </c>
      <c r="C215" s="173" t="s">
        <v>231</v>
      </c>
      <c r="D215" s="175" t="s">
        <v>291</v>
      </c>
      <c r="E215" s="175" t="s">
        <v>291</v>
      </c>
      <c r="F215" s="175" t="s">
        <v>291</v>
      </c>
      <c r="G215" s="175" t="s">
        <v>291</v>
      </c>
      <c r="H215" s="175" t="s">
        <v>291</v>
      </c>
      <c r="I215" s="175" t="s">
        <v>291</v>
      </c>
      <c r="J215" s="175" t="s">
        <v>291</v>
      </c>
      <c r="K215" s="298"/>
    </row>
    <row r="216" spans="1:11" s="85" customFormat="1" ht="19.5" customHeight="1" outlineLevel="1">
      <c r="A216" s="302" t="s">
        <v>416</v>
      </c>
      <c r="B216" s="303"/>
      <c r="C216" s="303"/>
      <c r="D216" s="303"/>
      <c r="E216" s="303"/>
      <c r="F216" s="303"/>
      <c r="G216" s="303"/>
      <c r="H216" s="303"/>
      <c r="I216" s="303"/>
      <c r="J216" s="304"/>
      <c r="K216" s="298"/>
    </row>
    <row r="217" spans="1:11" s="85" customFormat="1" ht="19.5" customHeight="1" outlineLevel="1">
      <c r="A217" s="357">
        <v>1</v>
      </c>
      <c r="B217" s="176" t="s">
        <v>348</v>
      </c>
      <c r="C217" s="203">
        <v>26314</v>
      </c>
      <c r="D217" s="170">
        <f aca="true" t="shared" si="6" ref="D217:I217">D149+D175+D205</f>
        <v>2625</v>
      </c>
      <c r="E217" s="170">
        <f t="shared" si="6"/>
        <v>1673</v>
      </c>
      <c r="F217" s="170">
        <f t="shared" si="6"/>
        <v>4298</v>
      </c>
      <c r="G217" s="170">
        <f t="shared" si="6"/>
        <v>14219</v>
      </c>
      <c r="H217" s="170">
        <f t="shared" si="6"/>
        <v>9691</v>
      </c>
      <c r="I217" s="170">
        <f t="shared" si="6"/>
        <v>23910</v>
      </c>
      <c r="J217" s="271">
        <f>I217/C217*100</f>
        <v>90.86417876415597</v>
      </c>
      <c r="K217" s="298"/>
    </row>
    <row r="218" spans="1:11" s="85" customFormat="1" ht="19.5" customHeight="1" outlineLevel="1">
      <c r="A218" s="358"/>
      <c r="B218" s="180" t="s">
        <v>398</v>
      </c>
      <c r="C218" s="203">
        <v>7270</v>
      </c>
      <c r="D218" s="170">
        <f aca="true" t="shared" si="7" ref="D218:I225">D150+D176+D206</f>
        <v>1167</v>
      </c>
      <c r="E218" s="170">
        <f t="shared" si="7"/>
        <v>738</v>
      </c>
      <c r="F218" s="170">
        <f t="shared" si="7"/>
        <v>1905</v>
      </c>
      <c r="G218" s="170">
        <f t="shared" si="7"/>
        <v>6085</v>
      </c>
      <c r="H218" s="170">
        <f t="shared" si="7"/>
        <v>3874</v>
      </c>
      <c r="I218" s="170">
        <f t="shared" si="7"/>
        <v>9959</v>
      </c>
      <c r="J218" s="271">
        <f aca="true" t="shared" si="8" ref="J218:J233">I218/C218*100</f>
        <v>136.9876203576341</v>
      </c>
      <c r="K218" s="298"/>
    </row>
    <row r="219" spans="1:11" s="85" customFormat="1" ht="19.5" customHeight="1" outlineLevel="1">
      <c r="A219" s="358"/>
      <c r="B219" s="180" t="s">
        <v>399</v>
      </c>
      <c r="C219" s="203">
        <v>1967</v>
      </c>
      <c r="D219" s="170">
        <f t="shared" si="7"/>
        <v>469</v>
      </c>
      <c r="E219" s="170">
        <f t="shared" si="7"/>
        <v>305</v>
      </c>
      <c r="F219" s="170">
        <f t="shared" si="7"/>
        <v>774</v>
      </c>
      <c r="G219" s="170">
        <f t="shared" si="7"/>
        <v>2517</v>
      </c>
      <c r="H219" s="170">
        <f t="shared" si="7"/>
        <v>1664</v>
      </c>
      <c r="I219" s="170">
        <f t="shared" si="7"/>
        <v>4181</v>
      </c>
      <c r="J219" s="271">
        <f t="shared" si="8"/>
        <v>212.55719369598373</v>
      </c>
      <c r="K219" s="298"/>
    </row>
    <row r="220" spans="1:11" s="85" customFormat="1" ht="19.5" customHeight="1" outlineLevel="1">
      <c r="A220" s="358"/>
      <c r="B220" s="180" t="s">
        <v>267</v>
      </c>
      <c r="C220" s="203">
        <v>9998</v>
      </c>
      <c r="D220" s="170">
        <f t="shared" si="7"/>
        <v>1797</v>
      </c>
      <c r="E220" s="170">
        <f t="shared" si="7"/>
        <v>1079</v>
      </c>
      <c r="F220" s="170">
        <f t="shared" si="7"/>
        <v>2876</v>
      </c>
      <c r="G220" s="170">
        <f t="shared" si="7"/>
        <v>8197</v>
      </c>
      <c r="H220" s="170">
        <f t="shared" si="7"/>
        <v>5386</v>
      </c>
      <c r="I220" s="170">
        <f t="shared" si="7"/>
        <v>13583</v>
      </c>
      <c r="J220" s="271">
        <f t="shared" si="8"/>
        <v>135.85717143428687</v>
      </c>
      <c r="K220" s="298"/>
    </row>
    <row r="221" spans="1:11" s="85" customFormat="1" ht="19.5" customHeight="1" outlineLevel="1">
      <c r="A221" s="358"/>
      <c r="B221" s="176" t="s">
        <v>268</v>
      </c>
      <c r="C221" s="203">
        <v>1011</v>
      </c>
      <c r="D221" s="170">
        <f t="shared" si="7"/>
        <v>371</v>
      </c>
      <c r="E221" s="170">
        <f t="shared" si="7"/>
        <v>167</v>
      </c>
      <c r="F221" s="170">
        <f t="shared" si="7"/>
        <v>538</v>
      </c>
      <c r="G221" s="170">
        <f t="shared" si="7"/>
        <v>1153</v>
      </c>
      <c r="H221" s="170">
        <f t="shared" si="7"/>
        <v>656</v>
      </c>
      <c r="I221" s="170">
        <f t="shared" si="7"/>
        <v>1809</v>
      </c>
      <c r="J221" s="271">
        <f t="shared" si="8"/>
        <v>178.93175074183975</v>
      </c>
      <c r="K221" s="298"/>
    </row>
    <row r="222" spans="1:11" s="85" customFormat="1" ht="19.5" customHeight="1" outlineLevel="1">
      <c r="A222" s="358"/>
      <c r="B222" s="176" t="s">
        <v>269</v>
      </c>
      <c r="C222" s="203">
        <v>1614</v>
      </c>
      <c r="D222" s="170">
        <f t="shared" si="7"/>
        <v>1050</v>
      </c>
      <c r="E222" s="170">
        <f t="shared" si="7"/>
        <v>580</v>
      </c>
      <c r="F222" s="170">
        <f t="shared" si="7"/>
        <v>1630</v>
      </c>
      <c r="G222" s="170">
        <f t="shared" si="7"/>
        <v>3819</v>
      </c>
      <c r="H222" s="170">
        <f t="shared" si="7"/>
        <v>2076</v>
      </c>
      <c r="I222" s="170">
        <f t="shared" si="7"/>
        <v>5895</v>
      </c>
      <c r="J222" s="271">
        <f t="shared" si="8"/>
        <v>365.24163568773236</v>
      </c>
      <c r="K222" s="298"/>
    </row>
    <row r="223" spans="1:11" s="85" customFormat="1" ht="19.5" customHeight="1" outlineLevel="1">
      <c r="A223" s="358"/>
      <c r="B223" s="176" t="s">
        <v>270</v>
      </c>
      <c r="C223" s="203">
        <v>4024</v>
      </c>
      <c r="D223" s="170">
        <f t="shared" si="7"/>
        <v>907</v>
      </c>
      <c r="E223" s="170">
        <f t="shared" si="7"/>
        <v>610</v>
      </c>
      <c r="F223" s="170">
        <f t="shared" si="7"/>
        <v>1517</v>
      </c>
      <c r="G223" s="170">
        <f t="shared" si="7"/>
        <v>5268</v>
      </c>
      <c r="H223" s="170">
        <f t="shared" si="7"/>
        <v>3721</v>
      </c>
      <c r="I223" s="170">
        <f t="shared" si="7"/>
        <v>8989</v>
      </c>
      <c r="J223" s="271">
        <f t="shared" si="8"/>
        <v>223.38469184890656</v>
      </c>
      <c r="K223" s="298"/>
    </row>
    <row r="224" spans="1:11" s="85" customFormat="1" ht="19.5" customHeight="1" outlineLevel="1">
      <c r="A224" s="358"/>
      <c r="B224" s="180" t="s">
        <v>400</v>
      </c>
      <c r="C224" s="203">
        <v>4295</v>
      </c>
      <c r="D224" s="170">
        <f t="shared" si="7"/>
        <v>313</v>
      </c>
      <c r="E224" s="170">
        <f t="shared" si="7"/>
        <v>272</v>
      </c>
      <c r="F224" s="170">
        <f t="shared" si="7"/>
        <v>585</v>
      </c>
      <c r="G224" s="170">
        <f t="shared" si="7"/>
        <v>1538</v>
      </c>
      <c r="H224" s="170">
        <f t="shared" si="7"/>
        <v>1369</v>
      </c>
      <c r="I224" s="170">
        <f t="shared" si="7"/>
        <v>2907</v>
      </c>
      <c r="J224" s="271">
        <f t="shared" si="8"/>
        <v>67.68335273573923</v>
      </c>
      <c r="K224" s="298"/>
    </row>
    <row r="225" spans="1:11" s="85" customFormat="1" ht="19.5" customHeight="1" outlineLevel="1">
      <c r="A225" s="359"/>
      <c r="B225" s="180" t="s">
        <v>401</v>
      </c>
      <c r="C225" s="203">
        <v>8587</v>
      </c>
      <c r="D225" s="170">
        <f t="shared" si="7"/>
        <v>2426</v>
      </c>
      <c r="E225" s="170">
        <f t="shared" si="7"/>
        <v>1562</v>
      </c>
      <c r="F225" s="170">
        <f t="shared" si="7"/>
        <v>3988</v>
      </c>
      <c r="G225" s="170">
        <f t="shared" si="7"/>
        <v>5585</v>
      </c>
      <c r="H225" s="170">
        <f t="shared" si="7"/>
        <v>3465</v>
      </c>
      <c r="I225" s="170">
        <f t="shared" si="7"/>
        <v>9050</v>
      </c>
      <c r="J225" s="271">
        <f t="shared" si="8"/>
        <v>105.39187143356237</v>
      </c>
      <c r="K225" s="298"/>
    </row>
    <row r="226" spans="1:11" s="157" customFormat="1" ht="19.5" customHeight="1" outlineLevel="1">
      <c r="A226" s="357">
        <v>2</v>
      </c>
      <c r="B226" s="168" t="s">
        <v>175</v>
      </c>
      <c r="C226" s="203">
        <v>3053</v>
      </c>
      <c r="D226" s="170">
        <f aca="true" t="shared" si="9" ref="D226:I226">D159+D184</f>
        <v>223</v>
      </c>
      <c r="E226" s="170">
        <f t="shared" si="9"/>
        <v>300</v>
      </c>
      <c r="F226" s="170">
        <f t="shared" si="9"/>
        <v>523</v>
      </c>
      <c r="G226" s="170">
        <f t="shared" si="9"/>
        <v>1595</v>
      </c>
      <c r="H226" s="170">
        <f t="shared" si="9"/>
        <v>2246</v>
      </c>
      <c r="I226" s="170">
        <f t="shared" si="9"/>
        <v>3841</v>
      </c>
      <c r="J226" s="271">
        <f t="shared" si="8"/>
        <v>125.81067802161807</v>
      </c>
      <c r="K226" s="300"/>
    </row>
    <row r="227" spans="1:11" s="85" customFormat="1" ht="19.5" customHeight="1" outlineLevel="1">
      <c r="A227" s="358"/>
      <c r="B227" s="177" t="s">
        <v>398</v>
      </c>
      <c r="C227" s="203">
        <v>726</v>
      </c>
      <c r="D227" s="170">
        <f aca="true" t="shared" si="10" ref="D227:I232">D160+D185</f>
        <v>57</v>
      </c>
      <c r="E227" s="170">
        <f t="shared" si="10"/>
        <v>89</v>
      </c>
      <c r="F227" s="170">
        <f t="shared" si="10"/>
        <v>146</v>
      </c>
      <c r="G227" s="170">
        <f t="shared" si="10"/>
        <v>342</v>
      </c>
      <c r="H227" s="170">
        <f t="shared" si="10"/>
        <v>455</v>
      </c>
      <c r="I227" s="170">
        <f t="shared" si="10"/>
        <v>797</v>
      </c>
      <c r="J227" s="271">
        <f t="shared" si="8"/>
        <v>109.77961432506886</v>
      </c>
      <c r="K227" s="298"/>
    </row>
    <row r="228" spans="1:11" s="85" customFormat="1" ht="19.5" customHeight="1" outlineLevel="1">
      <c r="A228" s="358"/>
      <c r="B228" s="177" t="s">
        <v>267</v>
      </c>
      <c r="C228" s="203">
        <v>1000</v>
      </c>
      <c r="D228" s="170">
        <f t="shared" si="10"/>
        <v>132</v>
      </c>
      <c r="E228" s="170">
        <f t="shared" si="10"/>
        <v>202</v>
      </c>
      <c r="F228" s="170">
        <f t="shared" si="10"/>
        <v>334</v>
      </c>
      <c r="G228" s="170">
        <f t="shared" si="10"/>
        <v>853</v>
      </c>
      <c r="H228" s="170">
        <f t="shared" si="10"/>
        <v>1243</v>
      </c>
      <c r="I228" s="170">
        <f t="shared" si="10"/>
        <v>2096</v>
      </c>
      <c r="J228" s="271">
        <f t="shared" si="8"/>
        <v>209.60000000000002</v>
      </c>
      <c r="K228" s="298"/>
    </row>
    <row r="229" spans="1:11" s="85" customFormat="1" ht="19.5" customHeight="1" outlineLevel="1">
      <c r="A229" s="358"/>
      <c r="B229" s="168" t="s">
        <v>268</v>
      </c>
      <c r="C229" s="203">
        <v>101</v>
      </c>
      <c r="D229" s="170">
        <f t="shared" si="10"/>
        <v>10</v>
      </c>
      <c r="E229" s="170">
        <f t="shared" si="10"/>
        <v>18</v>
      </c>
      <c r="F229" s="170">
        <f t="shared" si="10"/>
        <v>28</v>
      </c>
      <c r="G229" s="170">
        <f t="shared" si="10"/>
        <v>57</v>
      </c>
      <c r="H229" s="170">
        <f t="shared" si="10"/>
        <v>55</v>
      </c>
      <c r="I229" s="170">
        <f t="shared" si="10"/>
        <v>112</v>
      </c>
      <c r="J229" s="271">
        <f t="shared" si="8"/>
        <v>110.8910891089109</v>
      </c>
      <c r="K229" s="298"/>
    </row>
    <row r="230" spans="1:11" s="85" customFormat="1" ht="19.5" customHeight="1" outlineLevel="1">
      <c r="A230" s="358"/>
      <c r="B230" s="168" t="s">
        <v>269</v>
      </c>
      <c r="C230" s="203">
        <v>162</v>
      </c>
      <c r="D230" s="170">
        <f t="shared" si="10"/>
        <v>81</v>
      </c>
      <c r="E230" s="170">
        <f t="shared" si="10"/>
        <v>130</v>
      </c>
      <c r="F230" s="170">
        <f t="shared" si="10"/>
        <v>211</v>
      </c>
      <c r="G230" s="170">
        <f t="shared" si="10"/>
        <v>409</v>
      </c>
      <c r="H230" s="170">
        <f t="shared" si="10"/>
        <v>596</v>
      </c>
      <c r="I230" s="170">
        <f t="shared" si="10"/>
        <v>1005</v>
      </c>
      <c r="J230" s="271">
        <f t="shared" si="8"/>
        <v>620.3703703703703</v>
      </c>
      <c r="K230" s="298"/>
    </row>
    <row r="231" spans="1:11" s="85" customFormat="1" ht="19.5" customHeight="1" outlineLevel="1">
      <c r="A231" s="358"/>
      <c r="B231" s="168" t="s">
        <v>271</v>
      </c>
      <c r="C231" s="203">
        <v>403</v>
      </c>
      <c r="D231" s="170">
        <f t="shared" si="10"/>
        <v>75</v>
      </c>
      <c r="E231" s="170">
        <f t="shared" si="10"/>
        <v>119</v>
      </c>
      <c r="F231" s="170">
        <f t="shared" si="10"/>
        <v>194</v>
      </c>
      <c r="G231" s="170">
        <f t="shared" si="10"/>
        <v>561</v>
      </c>
      <c r="H231" s="170">
        <f t="shared" si="10"/>
        <v>854</v>
      </c>
      <c r="I231" s="170">
        <f t="shared" si="10"/>
        <v>1415</v>
      </c>
      <c r="J231" s="271">
        <f t="shared" si="8"/>
        <v>351.11662531017373</v>
      </c>
      <c r="K231" s="298"/>
    </row>
    <row r="232" spans="1:11" s="85" customFormat="1" ht="19.5" customHeight="1" outlineLevel="1">
      <c r="A232" s="359"/>
      <c r="B232" s="177" t="s">
        <v>400</v>
      </c>
      <c r="C232" s="203">
        <v>306</v>
      </c>
      <c r="D232" s="170">
        <f t="shared" si="10"/>
        <v>13</v>
      </c>
      <c r="E232" s="170">
        <f t="shared" si="10"/>
        <v>31</v>
      </c>
      <c r="F232" s="170">
        <f t="shared" si="10"/>
        <v>44</v>
      </c>
      <c r="G232" s="170">
        <f t="shared" si="10"/>
        <v>108</v>
      </c>
      <c r="H232" s="170">
        <f t="shared" si="10"/>
        <v>229</v>
      </c>
      <c r="I232" s="170">
        <f t="shared" si="10"/>
        <v>337</v>
      </c>
      <c r="J232" s="271">
        <f t="shared" si="8"/>
        <v>110.13071895424838</v>
      </c>
      <c r="K232" s="298"/>
    </row>
    <row r="233" spans="1:11" s="85" customFormat="1" ht="19.5" customHeight="1" outlineLevel="1">
      <c r="A233" s="265">
        <v>3</v>
      </c>
      <c r="B233" s="176" t="s">
        <v>373</v>
      </c>
      <c r="C233" s="203">
        <v>3358</v>
      </c>
      <c r="D233" s="194" t="s">
        <v>291</v>
      </c>
      <c r="E233" s="194" t="s">
        <v>291</v>
      </c>
      <c r="F233" s="170">
        <f>F166+F194</f>
        <v>531</v>
      </c>
      <c r="G233" s="194" t="s">
        <v>291</v>
      </c>
      <c r="H233" s="194" t="s">
        <v>291</v>
      </c>
      <c r="I233" s="170">
        <f>I166+I194</f>
        <v>4055</v>
      </c>
      <c r="J233" s="271">
        <f t="shared" si="8"/>
        <v>120.75640262060749</v>
      </c>
      <c r="K233" s="298"/>
    </row>
    <row r="234" spans="1:11" s="83" customFormat="1" ht="24.75" customHeight="1">
      <c r="A234" s="306" t="s">
        <v>349</v>
      </c>
      <c r="B234" s="307"/>
      <c r="C234" s="307"/>
      <c r="D234" s="307"/>
      <c r="E234" s="307"/>
      <c r="F234" s="307"/>
      <c r="G234" s="307"/>
      <c r="H234" s="307"/>
      <c r="I234" s="307"/>
      <c r="J234" s="308"/>
      <c r="K234" s="296"/>
    </row>
    <row r="235" spans="1:11" s="70" customFormat="1" ht="24.75" customHeight="1">
      <c r="A235" s="302" t="s">
        <v>279</v>
      </c>
      <c r="B235" s="303"/>
      <c r="C235" s="303"/>
      <c r="D235" s="303"/>
      <c r="E235" s="303"/>
      <c r="F235" s="303"/>
      <c r="G235" s="303"/>
      <c r="H235" s="303"/>
      <c r="I235" s="303"/>
      <c r="J235" s="304"/>
      <c r="K235" s="290"/>
    </row>
    <row r="236" spans="1:11" s="83" customFormat="1" ht="30" customHeight="1" hidden="1" outlineLevel="1">
      <c r="A236" s="334">
        <v>1</v>
      </c>
      <c r="B236" s="168" t="s">
        <v>350</v>
      </c>
      <c r="C236" s="169"/>
      <c r="D236" s="170"/>
      <c r="E236" s="171"/>
      <c r="F236" s="171"/>
      <c r="G236" s="170"/>
      <c r="H236" s="171"/>
      <c r="I236" s="171"/>
      <c r="J236" s="175"/>
      <c r="K236" s="296"/>
    </row>
    <row r="237" spans="1:11" s="83" customFormat="1" ht="19.5" customHeight="1" hidden="1" outlineLevel="1">
      <c r="A237" s="334"/>
      <c r="B237" s="180" t="s">
        <v>405</v>
      </c>
      <c r="C237" s="181"/>
      <c r="D237" s="170"/>
      <c r="E237" s="171"/>
      <c r="F237" s="171"/>
      <c r="G237" s="170"/>
      <c r="H237" s="171"/>
      <c r="I237" s="171"/>
      <c r="J237" s="175"/>
      <c r="K237" s="296"/>
    </row>
    <row r="238" spans="1:11" s="83" customFormat="1" ht="30" customHeight="1" hidden="1" outlineLevel="1">
      <c r="A238" s="185">
        <v>2</v>
      </c>
      <c r="B238" s="168" t="s">
        <v>406</v>
      </c>
      <c r="C238" s="169"/>
      <c r="D238" s="170"/>
      <c r="E238" s="171"/>
      <c r="F238" s="171"/>
      <c r="G238" s="170"/>
      <c r="H238" s="171"/>
      <c r="I238" s="171"/>
      <c r="J238" s="175"/>
      <c r="K238" s="296"/>
    </row>
    <row r="239" spans="1:11" s="85" customFormat="1" ht="31.5" customHeight="1" hidden="1" outlineLevel="1">
      <c r="A239" s="191">
        <v>3</v>
      </c>
      <c r="B239" s="168" t="s">
        <v>157</v>
      </c>
      <c r="C239" s="173"/>
      <c r="D239" s="170"/>
      <c r="E239" s="170"/>
      <c r="F239" s="170"/>
      <c r="G239" s="170"/>
      <c r="H239" s="170"/>
      <c r="I239" s="170"/>
      <c r="J239" s="175"/>
      <c r="K239" s="298"/>
    </row>
    <row r="240" spans="1:11" s="83" customFormat="1" ht="23.25" customHeight="1" hidden="1" outlineLevel="1">
      <c r="A240" s="167" t="s">
        <v>300</v>
      </c>
      <c r="B240" s="168" t="s">
        <v>297</v>
      </c>
      <c r="C240" s="174"/>
      <c r="D240" s="170"/>
      <c r="E240" s="170"/>
      <c r="F240" s="170"/>
      <c r="G240" s="170"/>
      <c r="H240" s="170"/>
      <c r="I240" s="170"/>
      <c r="J240" s="171"/>
      <c r="K240" s="296"/>
    </row>
    <row r="241" spans="1:11" s="70" customFormat="1" ht="24.75" customHeight="1" collapsed="1">
      <c r="A241" s="302" t="s">
        <v>280</v>
      </c>
      <c r="B241" s="303"/>
      <c r="C241" s="303"/>
      <c r="D241" s="303"/>
      <c r="E241" s="303"/>
      <c r="F241" s="303"/>
      <c r="G241" s="303"/>
      <c r="H241" s="303"/>
      <c r="I241" s="303"/>
      <c r="J241" s="304"/>
      <c r="K241" s="290"/>
    </row>
    <row r="242" spans="1:11" s="83" customFormat="1" ht="25.5" customHeight="1" hidden="1" outlineLevel="1">
      <c r="A242" s="185">
        <v>1</v>
      </c>
      <c r="B242" s="176" t="s">
        <v>281</v>
      </c>
      <c r="C242" s="169"/>
      <c r="D242" s="169"/>
      <c r="E242" s="169"/>
      <c r="F242" s="169"/>
      <c r="G242" s="169"/>
      <c r="H242" s="169"/>
      <c r="I242" s="169"/>
      <c r="J242" s="175"/>
      <c r="K242" s="296"/>
    </row>
    <row r="243" spans="1:11" s="85" customFormat="1" ht="30" customHeight="1" hidden="1" outlineLevel="1">
      <c r="A243" s="185">
        <v>2</v>
      </c>
      <c r="B243" s="176" t="s">
        <v>158</v>
      </c>
      <c r="C243" s="169"/>
      <c r="D243" s="175" t="s">
        <v>291</v>
      </c>
      <c r="E243" s="175" t="s">
        <v>291</v>
      </c>
      <c r="F243" s="169"/>
      <c r="G243" s="175" t="s">
        <v>291</v>
      </c>
      <c r="H243" s="175" t="s">
        <v>291</v>
      </c>
      <c r="I243" s="169"/>
      <c r="J243" s="175"/>
      <c r="K243" s="298"/>
    </row>
    <row r="244" spans="1:11" s="85" customFormat="1" ht="28.5" customHeight="1" hidden="1" outlineLevel="1">
      <c r="A244" s="185">
        <v>3</v>
      </c>
      <c r="B244" s="168" t="s">
        <v>159</v>
      </c>
      <c r="C244" s="169"/>
      <c r="D244" s="175" t="s">
        <v>291</v>
      </c>
      <c r="E244" s="175" t="s">
        <v>291</v>
      </c>
      <c r="F244" s="169"/>
      <c r="G244" s="175" t="s">
        <v>291</v>
      </c>
      <c r="H244" s="175" t="s">
        <v>291</v>
      </c>
      <c r="I244" s="169"/>
      <c r="J244" s="175"/>
      <c r="K244" s="298"/>
    </row>
    <row r="245" spans="1:11" s="85" customFormat="1" ht="18.75" customHeight="1" hidden="1" outlineLevel="1">
      <c r="A245" s="185">
        <v>4</v>
      </c>
      <c r="B245" s="168" t="s">
        <v>190</v>
      </c>
      <c r="C245" s="169"/>
      <c r="D245" s="169"/>
      <c r="E245" s="169"/>
      <c r="F245" s="169"/>
      <c r="G245" s="169"/>
      <c r="H245" s="169"/>
      <c r="I245" s="169"/>
      <c r="J245" s="175"/>
      <c r="K245" s="298"/>
    </row>
    <row r="246" spans="1:11" s="85" customFormat="1" ht="24.75" customHeight="1" hidden="1" outlineLevel="1">
      <c r="A246" s="185">
        <v>5</v>
      </c>
      <c r="B246" s="168" t="s">
        <v>160</v>
      </c>
      <c r="C246" s="169"/>
      <c r="D246" s="175" t="s">
        <v>291</v>
      </c>
      <c r="E246" s="175" t="s">
        <v>291</v>
      </c>
      <c r="F246" s="169"/>
      <c r="G246" s="175" t="s">
        <v>291</v>
      </c>
      <c r="H246" s="175" t="s">
        <v>291</v>
      </c>
      <c r="I246" s="169"/>
      <c r="J246" s="175"/>
      <c r="K246" s="298"/>
    </row>
    <row r="247" spans="1:11" s="85" customFormat="1" ht="19.5" customHeight="1" hidden="1" outlineLevel="1">
      <c r="A247" s="167" t="s">
        <v>300</v>
      </c>
      <c r="B247" s="168" t="s">
        <v>297</v>
      </c>
      <c r="C247" s="169"/>
      <c r="D247" s="169"/>
      <c r="E247" s="169"/>
      <c r="F247" s="169"/>
      <c r="G247" s="169"/>
      <c r="H247" s="169"/>
      <c r="I247" s="169"/>
      <c r="J247" s="171"/>
      <c r="K247" s="298"/>
    </row>
    <row r="248" spans="1:11" s="85" customFormat="1" ht="19.5" customHeight="1" collapsed="1">
      <c r="A248" s="302" t="s">
        <v>282</v>
      </c>
      <c r="B248" s="303"/>
      <c r="C248" s="303"/>
      <c r="D248" s="303"/>
      <c r="E248" s="303"/>
      <c r="F248" s="303"/>
      <c r="G248" s="303"/>
      <c r="H248" s="303"/>
      <c r="I248" s="303"/>
      <c r="J248" s="304"/>
      <c r="K248" s="298"/>
    </row>
    <row r="249" spans="1:11" s="85" customFormat="1" ht="15.75" hidden="1" outlineLevel="1">
      <c r="A249" s="185">
        <v>1</v>
      </c>
      <c r="B249" s="168" t="s">
        <v>26</v>
      </c>
      <c r="C249" s="169"/>
      <c r="D249" s="175" t="s">
        <v>291</v>
      </c>
      <c r="E249" s="175" t="s">
        <v>291</v>
      </c>
      <c r="F249" s="171"/>
      <c r="G249" s="175" t="s">
        <v>291</v>
      </c>
      <c r="H249" s="175" t="s">
        <v>291</v>
      </c>
      <c r="I249" s="171"/>
      <c r="J249" s="175"/>
      <c r="K249" s="298"/>
    </row>
    <row r="250" spans="1:11" s="85" customFormat="1" ht="19.5" customHeight="1" hidden="1" outlineLevel="1">
      <c r="A250" s="167" t="s">
        <v>300</v>
      </c>
      <c r="B250" s="168" t="s">
        <v>297</v>
      </c>
      <c r="C250" s="169"/>
      <c r="D250" s="169"/>
      <c r="E250" s="169"/>
      <c r="F250" s="169"/>
      <c r="G250" s="169"/>
      <c r="H250" s="169"/>
      <c r="I250" s="171"/>
      <c r="J250" s="171"/>
      <c r="K250" s="298"/>
    </row>
    <row r="251" spans="1:11" s="85" customFormat="1" ht="19.5" customHeight="1" collapsed="1">
      <c r="A251" s="302" t="s">
        <v>161</v>
      </c>
      <c r="B251" s="303"/>
      <c r="C251" s="303"/>
      <c r="D251" s="303"/>
      <c r="E251" s="303"/>
      <c r="F251" s="303"/>
      <c r="G251" s="303"/>
      <c r="H251" s="303"/>
      <c r="I251" s="303"/>
      <c r="J251" s="304"/>
      <c r="K251" s="298"/>
    </row>
    <row r="252" spans="1:11" s="85" customFormat="1" ht="15.75" hidden="1" outlineLevel="1">
      <c r="A252" s="192">
        <v>1</v>
      </c>
      <c r="B252" s="168" t="s">
        <v>162</v>
      </c>
      <c r="C252" s="169"/>
      <c r="D252" s="169"/>
      <c r="E252" s="169"/>
      <c r="F252" s="169"/>
      <c r="G252" s="169"/>
      <c r="H252" s="169"/>
      <c r="I252" s="169"/>
      <c r="J252" s="171"/>
      <c r="K252" s="298"/>
    </row>
    <row r="253" spans="1:11" s="85" customFormat="1" ht="19.5" customHeight="1" hidden="1" outlineLevel="1">
      <c r="A253" s="192" t="s">
        <v>300</v>
      </c>
      <c r="B253" s="168" t="s">
        <v>297</v>
      </c>
      <c r="C253" s="169"/>
      <c r="D253" s="169"/>
      <c r="E253" s="169"/>
      <c r="F253" s="169"/>
      <c r="G253" s="169"/>
      <c r="H253" s="169"/>
      <c r="I253" s="169"/>
      <c r="J253" s="171"/>
      <c r="K253" s="298"/>
    </row>
    <row r="254" spans="1:11" s="83" customFormat="1" ht="24.75" customHeight="1" collapsed="1">
      <c r="A254" s="306" t="s">
        <v>351</v>
      </c>
      <c r="B254" s="307"/>
      <c r="C254" s="307"/>
      <c r="D254" s="307"/>
      <c r="E254" s="307"/>
      <c r="F254" s="307"/>
      <c r="G254" s="307"/>
      <c r="H254" s="307"/>
      <c r="I254" s="307"/>
      <c r="J254" s="308"/>
      <c r="K254" s="296"/>
    </row>
    <row r="255" spans="1:11" s="70" customFormat="1" ht="24.75" customHeight="1">
      <c r="A255" s="302" t="s">
        <v>283</v>
      </c>
      <c r="B255" s="303"/>
      <c r="C255" s="303"/>
      <c r="D255" s="303"/>
      <c r="E255" s="303"/>
      <c r="F255" s="303"/>
      <c r="G255" s="303"/>
      <c r="H255" s="303"/>
      <c r="I255" s="303"/>
      <c r="J255" s="304"/>
      <c r="K255" s="290"/>
    </row>
    <row r="256" spans="1:11" s="85" customFormat="1" ht="30" customHeight="1" hidden="1" outlineLevel="1">
      <c r="A256" s="185">
        <v>1</v>
      </c>
      <c r="B256" s="168" t="s">
        <v>148</v>
      </c>
      <c r="C256" s="169"/>
      <c r="D256" s="175" t="s">
        <v>291</v>
      </c>
      <c r="E256" s="175" t="s">
        <v>291</v>
      </c>
      <c r="F256" s="171"/>
      <c r="G256" s="175" t="s">
        <v>291</v>
      </c>
      <c r="H256" s="175" t="s">
        <v>291</v>
      </c>
      <c r="I256" s="171"/>
      <c r="J256" s="175"/>
      <c r="K256" s="298"/>
    </row>
    <row r="257" spans="1:11" s="85" customFormat="1" ht="30" customHeight="1" hidden="1" outlineLevel="1">
      <c r="A257" s="334">
        <v>2</v>
      </c>
      <c r="B257" s="168" t="s">
        <v>352</v>
      </c>
      <c r="C257" s="169"/>
      <c r="D257" s="169"/>
      <c r="E257" s="169"/>
      <c r="F257" s="171"/>
      <c r="G257" s="169"/>
      <c r="H257" s="169"/>
      <c r="I257" s="171"/>
      <c r="J257" s="175"/>
      <c r="K257" s="298"/>
    </row>
    <row r="258" spans="1:11" s="85" customFormat="1" ht="19.5" customHeight="1" hidden="1" outlineLevel="1">
      <c r="A258" s="334"/>
      <c r="B258" s="180" t="s">
        <v>389</v>
      </c>
      <c r="C258" s="169"/>
      <c r="D258" s="169"/>
      <c r="E258" s="169"/>
      <c r="F258" s="171"/>
      <c r="G258" s="169"/>
      <c r="H258" s="169"/>
      <c r="I258" s="171"/>
      <c r="J258" s="175"/>
      <c r="K258" s="298"/>
    </row>
    <row r="259" spans="1:11" s="85" customFormat="1" ht="19.5" customHeight="1" hidden="1" outlineLevel="1">
      <c r="A259" s="185">
        <v>3</v>
      </c>
      <c r="B259" s="176" t="s">
        <v>123</v>
      </c>
      <c r="C259" s="193"/>
      <c r="D259" s="194"/>
      <c r="E259" s="175"/>
      <c r="F259" s="175"/>
      <c r="G259" s="194"/>
      <c r="H259" s="175"/>
      <c r="I259" s="175"/>
      <c r="J259" s="175"/>
      <c r="K259" s="298"/>
    </row>
    <row r="260" spans="1:11" s="85" customFormat="1" ht="30" customHeight="1" hidden="1" outlineLevel="1">
      <c r="A260" s="185">
        <v>4</v>
      </c>
      <c r="B260" s="176" t="s">
        <v>206</v>
      </c>
      <c r="C260" s="173" t="s">
        <v>231</v>
      </c>
      <c r="D260" s="175" t="s">
        <v>291</v>
      </c>
      <c r="E260" s="175" t="s">
        <v>291</v>
      </c>
      <c r="F260" s="171"/>
      <c r="G260" s="175" t="s">
        <v>291</v>
      </c>
      <c r="H260" s="175" t="s">
        <v>291</v>
      </c>
      <c r="I260" s="171"/>
      <c r="J260" s="175" t="s">
        <v>291</v>
      </c>
      <c r="K260" s="298"/>
    </row>
    <row r="261" spans="1:11" s="85" customFormat="1" ht="30" customHeight="1" hidden="1" outlineLevel="1">
      <c r="A261" s="185">
        <v>5</v>
      </c>
      <c r="B261" s="168" t="s">
        <v>150</v>
      </c>
      <c r="C261" s="169"/>
      <c r="D261" s="175" t="s">
        <v>291</v>
      </c>
      <c r="E261" s="175" t="s">
        <v>291</v>
      </c>
      <c r="F261" s="171"/>
      <c r="G261" s="175" t="s">
        <v>291</v>
      </c>
      <c r="H261" s="175" t="s">
        <v>291</v>
      </c>
      <c r="I261" s="171"/>
      <c r="J261" s="175"/>
      <c r="K261" s="298"/>
    </row>
    <row r="262" spans="1:11" s="85" customFormat="1" ht="29.25" customHeight="1" hidden="1" outlineLevel="1">
      <c r="A262" s="185">
        <v>6</v>
      </c>
      <c r="B262" s="168" t="s">
        <v>353</v>
      </c>
      <c r="C262" s="173"/>
      <c r="D262" s="173"/>
      <c r="E262" s="173"/>
      <c r="F262" s="173"/>
      <c r="G262" s="173"/>
      <c r="H262" s="173"/>
      <c r="I262" s="173"/>
      <c r="J262" s="175"/>
      <c r="K262" s="298"/>
    </row>
    <row r="263" spans="1:11" s="85" customFormat="1" ht="31.5" customHeight="1" hidden="1" outlineLevel="1">
      <c r="A263" s="185">
        <v>7</v>
      </c>
      <c r="B263" s="168" t="s">
        <v>149</v>
      </c>
      <c r="C263" s="173"/>
      <c r="D263" s="173"/>
      <c r="E263" s="173"/>
      <c r="F263" s="173"/>
      <c r="G263" s="173"/>
      <c r="H263" s="173"/>
      <c r="I263" s="173"/>
      <c r="J263" s="175"/>
      <c r="K263" s="298"/>
    </row>
    <row r="264" spans="1:11" s="85" customFormat="1" ht="17.25" customHeight="1" hidden="1" outlineLevel="1">
      <c r="A264" s="185">
        <v>8</v>
      </c>
      <c r="B264" s="176" t="s">
        <v>27</v>
      </c>
      <c r="C264" s="173"/>
      <c r="D264" s="173" t="s">
        <v>291</v>
      </c>
      <c r="E264" s="173" t="s">
        <v>291</v>
      </c>
      <c r="F264" s="175"/>
      <c r="G264" s="173" t="s">
        <v>291</v>
      </c>
      <c r="H264" s="173" t="s">
        <v>291</v>
      </c>
      <c r="I264" s="175"/>
      <c r="J264" s="175"/>
      <c r="K264" s="298"/>
    </row>
    <row r="265" spans="1:11" s="85" customFormat="1" ht="17.25" customHeight="1" hidden="1" outlineLevel="1">
      <c r="A265" s="335">
        <v>9</v>
      </c>
      <c r="B265" s="354" t="s">
        <v>364</v>
      </c>
      <c r="C265" s="355"/>
      <c r="D265" s="355"/>
      <c r="E265" s="355"/>
      <c r="F265" s="355"/>
      <c r="G265" s="355"/>
      <c r="H265" s="355"/>
      <c r="I265" s="355"/>
      <c r="J265" s="356"/>
      <c r="K265" s="298"/>
    </row>
    <row r="266" spans="1:11" s="85" customFormat="1" ht="17.25" customHeight="1" hidden="1" outlineLevel="1">
      <c r="A266" s="336"/>
      <c r="B266" s="176" t="s">
        <v>29</v>
      </c>
      <c r="C266" s="173" t="s">
        <v>231</v>
      </c>
      <c r="D266" s="173"/>
      <c r="E266" s="173"/>
      <c r="F266" s="175"/>
      <c r="G266" s="173"/>
      <c r="H266" s="173"/>
      <c r="I266" s="175"/>
      <c r="J266" s="173" t="s">
        <v>291</v>
      </c>
      <c r="K266" s="298"/>
    </row>
    <row r="267" spans="1:11" s="85" customFormat="1" ht="17.25" customHeight="1" hidden="1" outlineLevel="1">
      <c r="A267" s="336"/>
      <c r="B267" s="183" t="s">
        <v>30</v>
      </c>
      <c r="C267" s="173" t="s">
        <v>231</v>
      </c>
      <c r="D267" s="183"/>
      <c r="E267" s="183"/>
      <c r="F267" s="183"/>
      <c r="G267" s="183"/>
      <c r="H267" s="183"/>
      <c r="I267" s="183"/>
      <c r="J267" s="173" t="s">
        <v>291</v>
      </c>
      <c r="K267" s="298"/>
    </row>
    <row r="268" spans="1:11" s="85" customFormat="1" ht="18.75" customHeight="1" hidden="1" outlineLevel="1">
      <c r="A268" s="337"/>
      <c r="B268" s="183" t="s">
        <v>28</v>
      </c>
      <c r="C268" s="173" t="s">
        <v>231</v>
      </c>
      <c r="D268" s="183"/>
      <c r="E268" s="183"/>
      <c r="F268" s="183"/>
      <c r="G268" s="183"/>
      <c r="H268" s="183"/>
      <c r="I268" s="183"/>
      <c r="J268" s="173" t="s">
        <v>291</v>
      </c>
      <c r="K268" s="298"/>
    </row>
    <row r="269" spans="1:11" s="85" customFormat="1" ht="30" customHeight="1" hidden="1" outlineLevel="1">
      <c r="A269" s="185">
        <v>10</v>
      </c>
      <c r="B269" s="176" t="s">
        <v>365</v>
      </c>
      <c r="C269" s="173" t="s">
        <v>231</v>
      </c>
      <c r="D269" s="173" t="s">
        <v>291</v>
      </c>
      <c r="E269" s="173" t="s">
        <v>291</v>
      </c>
      <c r="F269" s="195"/>
      <c r="G269" s="173" t="s">
        <v>291</v>
      </c>
      <c r="H269" s="173" t="s">
        <v>291</v>
      </c>
      <c r="I269" s="183"/>
      <c r="J269" s="173" t="s">
        <v>291</v>
      </c>
      <c r="K269" s="298"/>
    </row>
    <row r="270" spans="1:11" s="85" customFormat="1" ht="19.5" customHeight="1" hidden="1" outlineLevel="1">
      <c r="A270" s="167" t="s">
        <v>300</v>
      </c>
      <c r="B270" s="168" t="s">
        <v>297</v>
      </c>
      <c r="C270" s="174"/>
      <c r="D270" s="174"/>
      <c r="E270" s="174"/>
      <c r="F270" s="174"/>
      <c r="G270" s="174"/>
      <c r="H270" s="174"/>
      <c r="I270" s="174"/>
      <c r="J270" s="171"/>
      <c r="K270" s="298"/>
    </row>
    <row r="271" spans="1:11" s="70" customFormat="1" ht="24.75" customHeight="1" collapsed="1">
      <c r="A271" s="302" t="s">
        <v>284</v>
      </c>
      <c r="B271" s="303"/>
      <c r="C271" s="303"/>
      <c r="D271" s="303"/>
      <c r="E271" s="303"/>
      <c r="F271" s="303"/>
      <c r="G271" s="303"/>
      <c r="H271" s="303"/>
      <c r="I271" s="303"/>
      <c r="J271" s="304"/>
      <c r="K271" s="290"/>
    </row>
    <row r="272" spans="1:11" s="83" customFormat="1" ht="30" customHeight="1" hidden="1" outlineLevel="1">
      <c r="A272" s="334">
        <v>1</v>
      </c>
      <c r="B272" s="168" t="s">
        <v>293</v>
      </c>
      <c r="C272" s="169"/>
      <c r="D272" s="170"/>
      <c r="E272" s="171"/>
      <c r="F272" s="171"/>
      <c r="G272" s="170"/>
      <c r="H272" s="171"/>
      <c r="I272" s="171"/>
      <c r="J272" s="175"/>
      <c r="K272" s="296"/>
    </row>
    <row r="273" spans="1:11" s="83" customFormat="1" ht="19.5" customHeight="1" hidden="1" outlineLevel="1">
      <c r="A273" s="334"/>
      <c r="B273" s="177" t="s">
        <v>294</v>
      </c>
      <c r="C273" s="174"/>
      <c r="D273" s="170"/>
      <c r="E273" s="171"/>
      <c r="F273" s="171"/>
      <c r="G273" s="170"/>
      <c r="H273" s="171"/>
      <c r="I273" s="171"/>
      <c r="J273" s="175"/>
      <c r="K273" s="296"/>
    </row>
    <row r="274" spans="1:11" s="83" customFormat="1" ht="19.5" customHeight="1" hidden="1" outlineLevel="1">
      <c r="A274" s="334"/>
      <c r="B274" s="177" t="s">
        <v>295</v>
      </c>
      <c r="C274" s="174"/>
      <c r="D274" s="170"/>
      <c r="E274" s="171"/>
      <c r="F274" s="171"/>
      <c r="G274" s="170"/>
      <c r="H274" s="171"/>
      <c r="I274" s="171"/>
      <c r="J274" s="175"/>
      <c r="K274" s="296"/>
    </row>
    <row r="275" spans="1:11" s="83" customFormat="1" ht="31.5" hidden="1" outlineLevel="1">
      <c r="A275" s="185">
        <v>2</v>
      </c>
      <c r="B275" s="168" t="s">
        <v>32</v>
      </c>
      <c r="C275" s="173"/>
      <c r="D275" s="194"/>
      <c r="E275" s="175"/>
      <c r="F275" s="175"/>
      <c r="G275" s="194"/>
      <c r="H275" s="175"/>
      <c r="I275" s="175"/>
      <c r="J275" s="175"/>
      <c r="K275" s="296"/>
    </row>
    <row r="276" spans="1:11" s="83" customFormat="1" ht="19.5" customHeight="1" hidden="1" outlineLevel="1">
      <c r="A276" s="185">
        <v>3</v>
      </c>
      <c r="B276" s="168" t="s">
        <v>354</v>
      </c>
      <c r="C276" s="169"/>
      <c r="D276" s="170"/>
      <c r="E276" s="171"/>
      <c r="F276" s="171"/>
      <c r="G276" s="170"/>
      <c r="H276" s="171"/>
      <c r="I276" s="171"/>
      <c r="J276" s="175"/>
      <c r="K276" s="296"/>
    </row>
    <row r="277" spans="1:11" s="83" customFormat="1" ht="19.5" customHeight="1" hidden="1" outlineLevel="1">
      <c r="A277" s="167" t="s">
        <v>300</v>
      </c>
      <c r="B277" s="168" t="s">
        <v>297</v>
      </c>
      <c r="C277" s="174"/>
      <c r="D277" s="170"/>
      <c r="E277" s="171"/>
      <c r="F277" s="171"/>
      <c r="G277" s="170"/>
      <c r="H277" s="171"/>
      <c r="I277" s="171"/>
      <c r="J277" s="171"/>
      <c r="K277" s="296"/>
    </row>
    <row r="278" spans="1:11" s="83" customFormat="1" ht="24.75" customHeight="1" collapsed="1">
      <c r="A278" s="306" t="s">
        <v>355</v>
      </c>
      <c r="B278" s="307"/>
      <c r="C278" s="307"/>
      <c r="D278" s="307"/>
      <c r="E278" s="307"/>
      <c r="F278" s="307"/>
      <c r="G278" s="307"/>
      <c r="H278" s="307"/>
      <c r="I278" s="307"/>
      <c r="J278" s="308"/>
      <c r="K278" s="296"/>
    </row>
    <row r="279" spans="1:11" s="70" customFormat="1" ht="24.75" customHeight="1">
      <c r="A279" s="302" t="s">
        <v>285</v>
      </c>
      <c r="B279" s="303"/>
      <c r="C279" s="303"/>
      <c r="D279" s="303"/>
      <c r="E279" s="303"/>
      <c r="F279" s="303"/>
      <c r="G279" s="303"/>
      <c r="H279" s="303"/>
      <c r="I279" s="303"/>
      <c r="J279" s="304"/>
      <c r="K279" s="290"/>
    </row>
    <row r="280" spans="1:11" s="85" customFormat="1" ht="30" customHeight="1" hidden="1" outlineLevel="1">
      <c r="A280" s="185">
        <v>1</v>
      </c>
      <c r="B280" s="176" t="s">
        <v>207</v>
      </c>
      <c r="C280" s="169"/>
      <c r="D280" s="175" t="s">
        <v>291</v>
      </c>
      <c r="E280" s="175" t="s">
        <v>291</v>
      </c>
      <c r="F280" s="170"/>
      <c r="G280" s="175" t="s">
        <v>291</v>
      </c>
      <c r="H280" s="175" t="s">
        <v>291</v>
      </c>
      <c r="I280" s="171"/>
      <c r="J280" s="175"/>
      <c r="K280" s="298"/>
    </row>
    <row r="281" spans="1:11" s="85" customFormat="1" ht="30" customHeight="1" hidden="1" outlineLevel="1">
      <c r="A281" s="185">
        <v>2</v>
      </c>
      <c r="B281" s="168" t="s">
        <v>229</v>
      </c>
      <c r="C281" s="173" t="s">
        <v>231</v>
      </c>
      <c r="D281" s="170"/>
      <c r="E281" s="170"/>
      <c r="F281" s="170"/>
      <c r="G281" s="170"/>
      <c r="H281" s="170"/>
      <c r="I281" s="170"/>
      <c r="J281" s="175" t="s">
        <v>291</v>
      </c>
      <c r="K281" s="298"/>
    </row>
    <row r="282" spans="1:11" s="85" customFormat="1" ht="31.5" hidden="1" outlineLevel="1">
      <c r="A282" s="334">
        <v>3</v>
      </c>
      <c r="B282" s="176" t="s">
        <v>371</v>
      </c>
      <c r="C282" s="169"/>
      <c r="D282" s="175" t="s">
        <v>291</v>
      </c>
      <c r="E282" s="175" t="s">
        <v>291</v>
      </c>
      <c r="F282" s="170"/>
      <c r="G282" s="175" t="s">
        <v>291</v>
      </c>
      <c r="H282" s="175" t="s">
        <v>291</v>
      </c>
      <c r="I282" s="171"/>
      <c r="J282" s="175"/>
      <c r="K282" s="298"/>
    </row>
    <row r="283" spans="1:11" s="85" customFormat="1" ht="19.5" customHeight="1" hidden="1" outlineLevel="1">
      <c r="A283" s="334"/>
      <c r="B283" s="177" t="s">
        <v>191</v>
      </c>
      <c r="C283" s="169"/>
      <c r="D283" s="175" t="s">
        <v>291</v>
      </c>
      <c r="E283" s="175" t="s">
        <v>291</v>
      </c>
      <c r="F283" s="170"/>
      <c r="G283" s="175" t="s">
        <v>291</v>
      </c>
      <c r="H283" s="175" t="s">
        <v>291</v>
      </c>
      <c r="I283" s="171"/>
      <c r="J283" s="175"/>
      <c r="K283" s="298"/>
    </row>
    <row r="284" spans="1:11" s="85" customFormat="1" ht="19.5" customHeight="1" hidden="1" outlineLevel="1">
      <c r="A284" s="334"/>
      <c r="B284" s="177" t="s">
        <v>192</v>
      </c>
      <c r="C284" s="169"/>
      <c r="D284" s="175" t="s">
        <v>291</v>
      </c>
      <c r="E284" s="175" t="s">
        <v>291</v>
      </c>
      <c r="F284" s="170"/>
      <c r="G284" s="175" t="s">
        <v>291</v>
      </c>
      <c r="H284" s="175" t="s">
        <v>291</v>
      </c>
      <c r="I284" s="171"/>
      <c r="J284" s="175"/>
      <c r="K284" s="298"/>
    </row>
    <row r="285" spans="1:11" s="85" customFormat="1" ht="27.75" customHeight="1" hidden="1" outlineLevel="1">
      <c r="A285" s="185">
        <v>4</v>
      </c>
      <c r="B285" s="168" t="s">
        <v>141</v>
      </c>
      <c r="C285" s="196"/>
      <c r="D285" s="173" t="s">
        <v>291</v>
      </c>
      <c r="E285" s="173" t="s">
        <v>291</v>
      </c>
      <c r="F285" s="194"/>
      <c r="G285" s="173" t="s">
        <v>291</v>
      </c>
      <c r="H285" s="173" t="s">
        <v>291</v>
      </c>
      <c r="I285" s="175"/>
      <c r="J285" s="175"/>
      <c r="K285" s="298"/>
    </row>
    <row r="286" spans="1:11" s="85" customFormat="1" ht="19.5" customHeight="1" hidden="1" outlineLevel="1">
      <c r="A286" s="167" t="s">
        <v>300</v>
      </c>
      <c r="B286" s="168" t="s">
        <v>297</v>
      </c>
      <c r="C286" s="169"/>
      <c r="D286" s="169"/>
      <c r="E286" s="169"/>
      <c r="F286" s="169"/>
      <c r="G286" s="169"/>
      <c r="H286" s="169"/>
      <c r="I286" s="169"/>
      <c r="J286" s="171"/>
      <c r="K286" s="298"/>
    </row>
    <row r="287" spans="1:11" s="70" customFormat="1" ht="24.75" customHeight="1" collapsed="1">
      <c r="A287" s="302" t="s">
        <v>286</v>
      </c>
      <c r="B287" s="303"/>
      <c r="C287" s="303"/>
      <c r="D287" s="303"/>
      <c r="E287" s="303"/>
      <c r="F287" s="303"/>
      <c r="G287" s="303"/>
      <c r="H287" s="303"/>
      <c r="I287" s="303"/>
      <c r="J287" s="304"/>
      <c r="K287" s="290"/>
    </row>
    <row r="288" spans="1:11" s="85" customFormat="1" ht="30" customHeight="1" hidden="1" outlineLevel="1">
      <c r="A288" s="185">
        <v>1</v>
      </c>
      <c r="B288" s="168" t="s">
        <v>228</v>
      </c>
      <c r="C288" s="169"/>
      <c r="D288" s="175" t="s">
        <v>291</v>
      </c>
      <c r="E288" s="175" t="s">
        <v>291</v>
      </c>
      <c r="F288" s="170"/>
      <c r="G288" s="175" t="s">
        <v>291</v>
      </c>
      <c r="H288" s="175" t="s">
        <v>291</v>
      </c>
      <c r="I288" s="171"/>
      <c r="J288" s="175"/>
      <c r="K288" s="298"/>
    </row>
    <row r="289" spans="1:11" s="85" customFormat="1" ht="30" customHeight="1" hidden="1" outlineLevel="1">
      <c r="A289" s="185">
        <v>2</v>
      </c>
      <c r="B289" s="168" t="s">
        <v>372</v>
      </c>
      <c r="C289" s="169"/>
      <c r="D289" s="175" t="s">
        <v>291</v>
      </c>
      <c r="E289" s="175" t="s">
        <v>291</v>
      </c>
      <c r="F289" s="170"/>
      <c r="G289" s="175" t="s">
        <v>291</v>
      </c>
      <c r="H289" s="175" t="s">
        <v>291</v>
      </c>
      <c r="I289" s="171"/>
      <c r="J289" s="175"/>
      <c r="K289" s="298"/>
    </row>
    <row r="290" spans="1:11" s="85" customFormat="1" ht="30" customHeight="1" hidden="1" outlineLevel="1">
      <c r="A290" s="185">
        <v>3</v>
      </c>
      <c r="B290" s="176" t="s">
        <v>209</v>
      </c>
      <c r="C290" s="173"/>
      <c r="D290" s="170"/>
      <c r="E290" s="170"/>
      <c r="F290" s="170"/>
      <c r="G290" s="170"/>
      <c r="H290" s="170"/>
      <c r="I290" s="170"/>
      <c r="J290" s="175"/>
      <c r="K290" s="298"/>
    </row>
    <row r="291" spans="1:11" s="83" customFormat="1" ht="19.5" customHeight="1" hidden="1" outlineLevel="1">
      <c r="A291" s="167" t="s">
        <v>300</v>
      </c>
      <c r="B291" s="168" t="s">
        <v>297</v>
      </c>
      <c r="C291" s="174"/>
      <c r="D291" s="170"/>
      <c r="E291" s="170"/>
      <c r="F291" s="170"/>
      <c r="G291" s="170"/>
      <c r="H291" s="170"/>
      <c r="I291" s="171"/>
      <c r="J291" s="171"/>
      <c r="K291" s="296"/>
    </row>
    <row r="292" spans="1:11" s="70" customFormat="1" ht="24.75" customHeight="1" collapsed="1">
      <c r="A292" s="302" t="s">
        <v>287</v>
      </c>
      <c r="B292" s="303"/>
      <c r="C292" s="303"/>
      <c r="D292" s="303"/>
      <c r="E292" s="303"/>
      <c r="F292" s="303"/>
      <c r="G292" s="303"/>
      <c r="H292" s="303"/>
      <c r="I292" s="303"/>
      <c r="J292" s="304"/>
      <c r="K292" s="290"/>
    </row>
    <row r="293" spans="1:11" s="83" customFormat="1" ht="27.75" customHeight="1" hidden="1" outlineLevel="1">
      <c r="A293" s="334">
        <v>1</v>
      </c>
      <c r="B293" s="168" t="s">
        <v>208</v>
      </c>
      <c r="C293" s="169"/>
      <c r="D293" s="170"/>
      <c r="E293" s="170"/>
      <c r="F293" s="170"/>
      <c r="G293" s="170"/>
      <c r="H293" s="171"/>
      <c r="I293" s="171"/>
      <c r="J293" s="175"/>
      <c r="K293" s="296"/>
    </row>
    <row r="294" spans="1:11" s="83" customFormat="1" ht="19.5" customHeight="1" hidden="1" outlineLevel="1">
      <c r="A294" s="334"/>
      <c r="B294" s="180" t="s">
        <v>193</v>
      </c>
      <c r="C294" s="181"/>
      <c r="D294" s="170"/>
      <c r="E294" s="170"/>
      <c r="F294" s="170"/>
      <c r="G294" s="170"/>
      <c r="H294" s="171"/>
      <c r="I294" s="171"/>
      <c r="J294" s="175"/>
      <c r="K294" s="296"/>
    </row>
    <row r="295" spans="1:11" s="83" customFormat="1" ht="19.5" customHeight="1" hidden="1" outlineLevel="1">
      <c r="A295" s="334"/>
      <c r="B295" s="180" t="s">
        <v>194</v>
      </c>
      <c r="C295" s="181"/>
      <c r="D295" s="170"/>
      <c r="E295" s="170"/>
      <c r="F295" s="170"/>
      <c r="G295" s="170"/>
      <c r="H295" s="171"/>
      <c r="I295" s="171"/>
      <c r="J295" s="175"/>
      <c r="K295" s="296"/>
    </row>
    <row r="296" spans="1:11" s="83" customFormat="1" ht="19.5" customHeight="1" hidden="1" outlineLevel="1">
      <c r="A296" s="167" t="s">
        <v>300</v>
      </c>
      <c r="B296" s="168" t="s">
        <v>297</v>
      </c>
      <c r="C296" s="174"/>
      <c r="D296" s="170"/>
      <c r="E296" s="171"/>
      <c r="F296" s="171"/>
      <c r="G296" s="170"/>
      <c r="H296" s="171"/>
      <c r="I296" s="171"/>
      <c r="J296" s="171"/>
      <c r="K296" s="296"/>
    </row>
    <row r="297" spans="1:11" s="83" customFormat="1" ht="24.75" customHeight="1" collapsed="1">
      <c r="A297" s="306" t="s">
        <v>288</v>
      </c>
      <c r="B297" s="344"/>
      <c r="C297" s="344"/>
      <c r="D297" s="344"/>
      <c r="E297" s="344"/>
      <c r="F297" s="344"/>
      <c r="G297" s="344"/>
      <c r="H297" s="344"/>
      <c r="I297" s="344"/>
      <c r="J297" s="345"/>
      <c r="K297" s="296"/>
    </row>
    <row r="298" spans="1:11" s="85" customFormat="1" ht="19.5" customHeight="1" hidden="1" outlineLevel="1">
      <c r="A298" s="187">
        <v>1</v>
      </c>
      <c r="B298" s="197" t="s">
        <v>289</v>
      </c>
      <c r="C298" s="198"/>
      <c r="D298" s="199" t="s">
        <v>291</v>
      </c>
      <c r="E298" s="199" t="s">
        <v>291</v>
      </c>
      <c r="F298" s="198"/>
      <c r="G298" s="199" t="s">
        <v>291</v>
      </c>
      <c r="H298" s="199" t="s">
        <v>291</v>
      </c>
      <c r="I298" s="198"/>
      <c r="J298" s="199"/>
      <c r="K298" s="298"/>
    </row>
    <row r="299" spans="1:11" s="85" customFormat="1" ht="19.5" customHeight="1" collapsed="1">
      <c r="A299" s="302" t="s">
        <v>142</v>
      </c>
      <c r="B299" s="303"/>
      <c r="C299" s="303"/>
      <c r="D299" s="303"/>
      <c r="E299" s="303"/>
      <c r="F299" s="303"/>
      <c r="G299" s="303"/>
      <c r="H299" s="303"/>
      <c r="I299" s="303"/>
      <c r="J299" s="304"/>
      <c r="K299" s="298"/>
    </row>
    <row r="300" spans="1:11" s="85" customFormat="1" ht="31.5" customHeight="1" hidden="1" outlineLevel="1">
      <c r="A300" s="335">
        <v>1</v>
      </c>
      <c r="B300" s="176" t="s">
        <v>145</v>
      </c>
      <c r="C300" s="193"/>
      <c r="D300" s="194"/>
      <c r="E300" s="194"/>
      <c r="F300" s="194"/>
      <c r="G300" s="194"/>
      <c r="H300" s="175"/>
      <c r="I300" s="175"/>
      <c r="J300" s="175"/>
      <c r="K300" s="298"/>
    </row>
    <row r="301" spans="1:11" s="85" customFormat="1" ht="18.75" customHeight="1" hidden="1" outlineLevel="1">
      <c r="A301" s="360"/>
      <c r="B301" s="176" t="s">
        <v>176</v>
      </c>
      <c r="C301" s="173" t="s">
        <v>231</v>
      </c>
      <c r="D301" s="194"/>
      <c r="E301" s="194"/>
      <c r="F301" s="194"/>
      <c r="G301" s="194"/>
      <c r="H301" s="175"/>
      <c r="I301" s="175"/>
      <c r="J301" s="199" t="s">
        <v>291</v>
      </c>
      <c r="K301" s="298"/>
    </row>
    <row r="302" spans="1:11" s="85" customFormat="1" ht="19.5" customHeight="1" hidden="1" outlineLevel="1">
      <c r="A302" s="360"/>
      <c r="B302" s="176" t="s">
        <v>177</v>
      </c>
      <c r="C302" s="173" t="s">
        <v>231</v>
      </c>
      <c r="D302" s="194"/>
      <c r="E302" s="194"/>
      <c r="F302" s="194"/>
      <c r="G302" s="194"/>
      <c r="H302" s="175"/>
      <c r="I302" s="175"/>
      <c r="J302" s="199" t="s">
        <v>291</v>
      </c>
      <c r="K302" s="298"/>
    </row>
    <row r="303" spans="1:11" s="85" customFormat="1" ht="21" customHeight="1" hidden="1" outlineLevel="1">
      <c r="A303" s="360"/>
      <c r="B303" s="176" t="s">
        <v>178</v>
      </c>
      <c r="C303" s="173" t="s">
        <v>231</v>
      </c>
      <c r="D303" s="194"/>
      <c r="E303" s="194"/>
      <c r="F303" s="194"/>
      <c r="G303" s="194"/>
      <c r="H303" s="175"/>
      <c r="I303" s="175"/>
      <c r="J303" s="199" t="s">
        <v>291</v>
      </c>
      <c r="K303" s="298"/>
    </row>
    <row r="304" spans="1:11" s="85" customFormat="1" ht="21" customHeight="1" hidden="1" outlineLevel="1">
      <c r="A304" s="361"/>
      <c r="B304" s="176" t="s">
        <v>38</v>
      </c>
      <c r="C304" s="205" t="s">
        <v>231</v>
      </c>
      <c r="D304" s="200"/>
      <c r="E304" s="200"/>
      <c r="F304" s="200"/>
      <c r="G304" s="200"/>
      <c r="H304" s="188"/>
      <c r="I304" s="188"/>
      <c r="J304" s="206" t="s">
        <v>291</v>
      </c>
      <c r="K304" s="298"/>
    </row>
    <row r="305" spans="1:11" s="85" customFormat="1" ht="21" customHeight="1" hidden="1" outlineLevel="1">
      <c r="A305" s="185">
        <v>2</v>
      </c>
      <c r="B305" s="176" t="s">
        <v>179</v>
      </c>
      <c r="C305" s="173" t="s">
        <v>231</v>
      </c>
      <c r="D305" s="194"/>
      <c r="E305" s="194"/>
      <c r="F305" s="194"/>
      <c r="G305" s="194"/>
      <c r="H305" s="175"/>
      <c r="I305" s="175"/>
      <c r="J305" s="199" t="s">
        <v>291</v>
      </c>
      <c r="K305" s="298"/>
    </row>
    <row r="306" spans="1:11" s="70" customFormat="1" ht="20.25" customHeight="1" collapsed="1">
      <c r="A306" s="349" t="s">
        <v>314</v>
      </c>
      <c r="B306" s="350"/>
      <c r="C306" s="346"/>
      <c r="D306" s="347"/>
      <c r="E306" s="347"/>
      <c r="F306" s="347"/>
      <c r="G306" s="347"/>
      <c r="H306" s="347"/>
      <c r="I306" s="347"/>
      <c r="J306" s="348"/>
      <c r="K306" s="290"/>
    </row>
    <row r="307" spans="1:11" s="70" customFormat="1" ht="15.75">
      <c r="A307" s="351" t="s">
        <v>45</v>
      </c>
      <c r="B307" s="352"/>
      <c r="C307" s="352"/>
      <c r="D307" s="352"/>
      <c r="E307" s="352"/>
      <c r="F307" s="352"/>
      <c r="G307" s="352"/>
      <c r="H307" s="352"/>
      <c r="I307" s="352"/>
      <c r="J307" s="353"/>
      <c r="K307" s="290"/>
    </row>
    <row r="308" spans="1:11" s="70" customFormat="1" ht="15.75">
      <c r="A308" s="351" t="s">
        <v>31</v>
      </c>
      <c r="B308" s="352"/>
      <c r="C308" s="352"/>
      <c r="D308" s="352"/>
      <c r="E308" s="352"/>
      <c r="F308" s="352"/>
      <c r="G308" s="352"/>
      <c r="H308" s="352"/>
      <c r="I308" s="352"/>
      <c r="J308" s="353"/>
      <c r="K308" s="290"/>
    </row>
    <row r="309" spans="1:11" s="70" customFormat="1" ht="14.25" customHeight="1">
      <c r="A309" s="343" t="s">
        <v>309</v>
      </c>
      <c r="B309" s="343"/>
      <c r="C309" s="201"/>
      <c r="D309" s="201"/>
      <c r="E309" s="201"/>
      <c r="F309" s="201"/>
      <c r="G309" s="201"/>
      <c r="H309" s="201"/>
      <c r="I309" s="201"/>
      <c r="J309" s="201"/>
      <c r="K309" s="290"/>
    </row>
    <row r="310" spans="1:11" s="70" customFormat="1" ht="15.75">
      <c r="A310" s="202" t="s">
        <v>310</v>
      </c>
      <c r="B310" s="201"/>
      <c r="C310" s="201"/>
      <c r="D310" s="201"/>
      <c r="E310" s="201"/>
      <c r="F310" s="201"/>
      <c r="G310" s="201"/>
      <c r="H310" s="201"/>
      <c r="I310" s="201"/>
      <c r="J310" s="201"/>
      <c r="K310" s="290"/>
    </row>
  </sheetData>
  <sheetProtection/>
  <mergeCells count="97">
    <mergeCell ref="A248:J248"/>
    <mergeCell ref="A255:J255"/>
    <mergeCell ref="A257:A258"/>
    <mergeCell ref="A271:J271"/>
    <mergeCell ref="A265:A268"/>
    <mergeCell ref="A191:A193"/>
    <mergeCell ref="A254:J254"/>
    <mergeCell ref="A236:A237"/>
    <mergeCell ref="A251:J251"/>
    <mergeCell ref="A279:J279"/>
    <mergeCell ref="A287:J287"/>
    <mergeCell ref="A300:A304"/>
    <mergeCell ref="A278:J278"/>
    <mergeCell ref="A272:A274"/>
    <mergeCell ref="A282:A284"/>
    <mergeCell ref="A174:J174"/>
    <mergeCell ref="A241:J241"/>
    <mergeCell ref="A204:J204"/>
    <mergeCell ref="B265:J265"/>
    <mergeCell ref="A216:J216"/>
    <mergeCell ref="A217:A225"/>
    <mergeCell ref="A226:A232"/>
    <mergeCell ref="A205:A213"/>
    <mergeCell ref="A234:J234"/>
    <mergeCell ref="A235:J235"/>
    <mergeCell ref="A309:B309"/>
    <mergeCell ref="A292:J292"/>
    <mergeCell ref="A293:A295"/>
    <mergeCell ref="A297:J297"/>
    <mergeCell ref="A299:J299"/>
    <mergeCell ref="C306:J306"/>
    <mergeCell ref="A306:B306"/>
    <mergeCell ref="A307:J307"/>
    <mergeCell ref="A308:J308"/>
    <mergeCell ref="A138:J138"/>
    <mergeCell ref="A143:J143"/>
    <mergeCell ref="A147:J147"/>
    <mergeCell ref="A148:J148"/>
    <mergeCell ref="A175:A183"/>
    <mergeCell ref="A194:A200"/>
    <mergeCell ref="A184:A190"/>
    <mergeCell ref="A149:A157"/>
    <mergeCell ref="A159:A165"/>
    <mergeCell ref="A166:A172"/>
    <mergeCell ref="A130:J130"/>
    <mergeCell ref="A132:A135"/>
    <mergeCell ref="A110:J110"/>
    <mergeCell ref="A120:J120"/>
    <mergeCell ref="A121:J121"/>
    <mergeCell ref="A122:A124"/>
    <mergeCell ref="A113:J113"/>
    <mergeCell ref="A97:J97"/>
    <mergeCell ref="A98:J98"/>
    <mergeCell ref="A103:A105"/>
    <mergeCell ref="A93:A95"/>
    <mergeCell ref="A11:J11"/>
    <mergeCell ref="A12:I12"/>
    <mergeCell ref="A14:J14"/>
    <mergeCell ref="A15:J15"/>
    <mergeCell ref="A13:J13"/>
    <mergeCell ref="A16:J16"/>
    <mergeCell ref="A7:B7"/>
    <mergeCell ref="C7:J7"/>
    <mergeCell ref="A9:J9"/>
    <mergeCell ref="A10:J10"/>
    <mergeCell ref="A1:G1"/>
    <mergeCell ref="A3:B3"/>
    <mergeCell ref="C3:J3"/>
    <mergeCell ref="A5:B5"/>
    <mergeCell ref="C5:J5"/>
    <mergeCell ref="J19:J20"/>
    <mergeCell ref="A17:J17"/>
    <mergeCell ref="A22:J22"/>
    <mergeCell ref="B19:B20"/>
    <mergeCell ref="C19:C20"/>
    <mergeCell ref="D19:F19"/>
    <mergeCell ref="G19:I19"/>
    <mergeCell ref="A46:J46"/>
    <mergeCell ref="A47:J47"/>
    <mergeCell ref="A23:J23"/>
    <mergeCell ref="A18:I18"/>
    <mergeCell ref="A19:A20"/>
    <mergeCell ref="A27:J27"/>
    <mergeCell ref="A31:J31"/>
    <mergeCell ref="A32:A37"/>
    <mergeCell ref="A39:J39"/>
    <mergeCell ref="A43:J43"/>
    <mergeCell ref="A92:J92"/>
    <mergeCell ref="A49:A50"/>
    <mergeCell ref="A56:J56"/>
    <mergeCell ref="A73:J73"/>
    <mergeCell ref="A74:J74"/>
    <mergeCell ref="A78:J78"/>
    <mergeCell ref="A81:J81"/>
    <mergeCell ref="A65:A68"/>
    <mergeCell ref="A61:J61"/>
    <mergeCell ref="A87:J87"/>
  </mergeCells>
  <printOptions horizontalCentered="1"/>
  <pageMargins left="0.7874015748031497" right="0.7874015748031497" top="0.984251968503937" bottom="0.984251968503937" header="0.5118110236220472" footer="0.5118110236220472"/>
  <pageSetup horizontalDpi="600" verticalDpi="600" orientation="landscape" paperSize="9" scale="46" r:id="rId1"/>
  <rowBreaks count="7" manualBreakCount="7">
    <brk id="45" max="255" man="1"/>
    <brk id="77" max="255" man="1"/>
    <brk id="112" max="255" man="1"/>
    <brk id="146" max="255" man="1"/>
    <brk id="193" max="255" man="1"/>
    <brk id="250" max="255" man="1"/>
    <brk id="286" max="255" man="1"/>
  </rowBreaks>
</worksheet>
</file>

<file path=xl/worksheets/sheet2.xml><?xml version="1.0" encoding="utf-8"?>
<worksheet xmlns="http://schemas.openxmlformats.org/spreadsheetml/2006/main" xmlns:r="http://schemas.openxmlformats.org/officeDocument/2006/relationships">
  <dimension ref="A1:AC34"/>
  <sheetViews>
    <sheetView view="pageBreakPreview" zoomScale="120" zoomScaleSheetLayoutView="120" zoomScalePageLayoutView="0" workbookViewId="0" topLeftCell="A25">
      <selection activeCell="A28" sqref="A28:M28"/>
    </sheetView>
  </sheetViews>
  <sheetFormatPr defaultColWidth="9.140625" defaultRowHeight="12.75"/>
  <cols>
    <col min="1" max="1" width="22.00390625" style="202" customWidth="1"/>
    <col min="2" max="2" width="12.8515625" style="202" customWidth="1"/>
    <col min="3" max="13" width="8.7109375" style="202" customWidth="1"/>
    <col min="14" max="16384" width="9.140625" style="202" customWidth="1"/>
  </cols>
  <sheetData>
    <row r="1" spans="1:13" ht="18" customHeight="1">
      <c r="A1" s="362" t="s">
        <v>52</v>
      </c>
      <c r="B1" s="362"/>
      <c r="C1" s="362"/>
      <c r="D1" s="362"/>
      <c r="E1" s="362"/>
      <c r="F1" s="362"/>
      <c r="G1" s="362"/>
      <c r="H1" s="362"/>
      <c r="I1" s="362"/>
      <c r="J1" s="362"/>
      <c r="K1" s="362"/>
      <c r="L1" s="362"/>
      <c r="M1" s="362"/>
    </row>
    <row r="2" spans="1:29" ht="14.25" customHeight="1">
      <c r="A2" s="214"/>
      <c r="B2" s="207"/>
      <c r="C2" s="207"/>
      <c r="D2" s="208"/>
      <c r="E2" s="208"/>
      <c r="F2" s="208"/>
      <c r="G2" s="208"/>
      <c r="H2" s="208"/>
      <c r="I2" s="208"/>
      <c r="J2" s="208"/>
      <c r="K2" s="208"/>
      <c r="L2" s="208"/>
      <c r="M2" s="208"/>
      <c r="N2" s="215"/>
      <c r="O2" s="215"/>
      <c r="P2" s="215"/>
      <c r="Q2" s="215"/>
      <c r="R2" s="215"/>
      <c r="S2" s="215"/>
      <c r="T2" s="215"/>
      <c r="U2" s="215"/>
      <c r="V2" s="215"/>
      <c r="W2" s="215"/>
      <c r="X2" s="215"/>
      <c r="Y2" s="215"/>
      <c r="Z2" s="215"/>
      <c r="AA2" s="215"/>
      <c r="AB2" s="215"/>
      <c r="AC2" s="215"/>
    </row>
    <row r="3" spans="1:29" ht="47.25" customHeight="1">
      <c r="A3" s="216" t="s">
        <v>290</v>
      </c>
      <c r="B3" s="370" t="s">
        <v>407</v>
      </c>
      <c r="C3" s="370"/>
      <c r="D3" s="370"/>
      <c r="E3" s="370"/>
      <c r="F3" s="370"/>
      <c r="G3" s="370"/>
      <c r="H3" s="370"/>
      <c r="I3" s="370"/>
      <c r="J3" s="370"/>
      <c r="K3" s="370"/>
      <c r="L3" s="370"/>
      <c r="M3" s="370"/>
      <c r="N3" s="215"/>
      <c r="O3" s="215"/>
      <c r="P3" s="215"/>
      <c r="Q3" s="215"/>
      <c r="R3" s="215"/>
      <c r="S3" s="215"/>
      <c r="T3" s="215"/>
      <c r="U3" s="215"/>
      <c r="V3" s="215"/>
      <c r="W3" s="215"/>
      <c r="X3" s="215"/>
      <c r="Y3" s="215"/>
      <c r="Z3" s="215"/>
      <c r="AA3" s="215"/>
      <c r="AB3" s="215"/>
      <c r="AC3" s="215"/>
    </row>
    <row r="4" spans="1:29" ht="12.75" customHeight="1">
      <c r="A4" s="217"/>
      <c r="B4" s="209"/>
      <c r="C4" s="209"/>
      <c r="D4" s="209"/>
      <c r="E4" s="209"/>
      <c r="F4" s="209"/>
      <c r="G4" s="209"/>
      <c r="H4" s="209"/>
      <c r="I4" s="209"/>
      <c r="J4" s="209"/>
      <c r="K4" s="209"/>
      <c r="L4" s="209"/>
      <c r="M4" s="209"/>
      <c r="N4" s="210"/>
      <c r="O4" s="210"/>
      <c r="P4" s="215"/>
      <c r="Q4" s="215"/>
      <c r="R4" s="215"/>
      <c r="S4" s="215"/>
      <c r="T4" s="215"/>
      <c r="U4" s="215"/>
      <c r="V4" s="215"/>
      <c r="W4" s="215"/>
      <c r="X4" s="215"/>
      <c r="Y4" s="215"/>
      <c r="Z4" s="215"/>
      <c r="AA4" s="215"/>
      <c r="AB4" s="215"/>
      <c r="AC4" s="215"/>
    </row>
    <row r="5" spans="1:29" ht="14.25" customHeight="1">
      <c r="A5" s="217" t="s">
        <v>306</v>
      </c>
      <c r="B5" s="371" t="s">
        <v>408</v>
      </c>
      <c r="C5" s="371"/>
      <c r="D5" s="371"/>
      <c r="E5" s="371"/>
      <c r="F5" s="371"/>
      <c r="G5" s="371"/>
      <c r="H5" s="371"/>
      <c r="I5" s="371"/>
      <c r="J5" s="371"/>
      <c r="K5" s="371"/>
      <c r="L5" s="371"/>
      <c r="M5" s="371"/>
      <c r="N5" s="215"/>
      <c r="O5" s="215"/>
      <c r="P5" s="215"/>
      <c r="Q5" s="215"/>
      <c r="R5" s="215"/>
      <c r="S5" s="215"/>
      <c r="T5" s="215"/>
      <c r="U5" s="215"/>
      <c r="V5" s="215"/>
      <c r="W5" s="215"/>
      <c r="X5" s="215"/>
      <c r="Y5" s="215"/>
      <c r="Z5" s="215"/>
      <c r="AA5" s="215"/>
      <c r="AB5" s="215"/>
      <c r="AC5" s="215"/>
    </row>
    <row r="6" spans="1:29" ht="13.5" customHeight="1">
      <c r="A6" s="217"/>
      <c r="N6" s="215"/>
      <c r="O6" s="215"/>
      <c r="P6" s="215"/>
      <c r="Q6" s="215"/>
      <c r="R6" s="215"/>
      <c r="S6" s="215"/>
      <c r="T6" s="215"/>
      <c r="U6" s="215"/>
      <c r="V6" s="215"/>
      <c r="W6" s="215"/>
      <c r="X6" s="215"/>
      <c r="Y6" s="215"/>
      <c r="Z6" s="215"/>
      <c r="AA6" s="215"/>
      <c r="AB6" s="215"/>
      <c r="AC6" s="215"/>
    </row>
    <row r="7" spans="1:29" ht="13.5" customHeight="1">
      <c r="A7" s="217" t="s">
        <v>307</v>
      </c>
      <c r="B7" s="371" t="s">
        <v>409</v>
      </c>
      <c r="C7" s="371"/>
      <c r="D7" s="371"/>
      <c r="E7" s="371"/>
      <c r="F7" s="371"/>
      <c r="G7" s="371"/>
      <c r="H7" s="371"/>
      <c r="I7" s="371"/>
      <c r="J7" s="371"/>
      <c r="K7" s="371"/>
      <c r="L7" s="371"/>
      <c r="M7" s="371"/>
      <c r="N7" s="215"/>
      <c r="O7" s="215"/>
      <c r="P7" s="215"/>
      <c r="Q7" s="215"/>
      <c r="R7" s="215"/>
      <c r="S7" s="215"/>
      <c r="T7" s="215"/>
      <c r="U7" s="215"/>
      <c r="V7" s="215"/>
      <c r="W7" s="215"/>
      <c r="X7" s="215"/>
      <c r="Y7" s="215"/>
      <c r="Z7" s="215"/>
      <c r="AA7" s="215"/>
      <c r="AB7" s="215"/>
      <c r="AC7" s="215"/>
    </row>
    <row r="8" spans="1:29" ht="13.5" customHeight="1">
      <c r="A8" s="217"/>
      <c r="B8" s="218"/>
      <c r="C8" s="218"/>
      <c r="D8" s="218"/>
      <c r="E8" s="218"/>
      <c r="F8" s="218"/>
      <c r="G8" s="218"/>
      <c r="H8" s="218"/>
      <c r="I8" s="218"/>
      <c r="J8" s="218"/>
      <c r="K8" s="218"/>
      <c r="L8" s="218"/>
      <c r="M8" s="218"/>
      <c r="N8" s="215"/>
      <c r="O8" s="215"/>
      <c r="P8" s="215"/>
      <c r="Q8" s="215"/>
      <c r="R8" s="215"/>
      <c r="S8" s="215"/>
      <c r="T8" s="215"/>
      <c r="U8" s="215"/>
      <c r="V8" s="215"/>
      <c r="W8" s="215"/>
      <c r="X8" s="215"/>
      <c r="Y8" s="215"/>
      <c r="Z8" s="215"/>
      <c r="AA8" s="215"/>
      <c r="AB8" s="215"/>
      <c r="AC8" s="215"/>
    </row>
    <row r="9" spans="1:13" ht="51.75" customHeight="1">
      <c r="A9" s="384" t="s">
        <v>412</v>
      </c>
      <c r="B9" s="384"/>
      <c r="C9" s="384"/>
      <c r="D9" s="384"/>
      <c r="E9" s="384"/>
      <c r="F9" s="384"/>
      <c r="G9" s="384"/>
      <c r="H9" s="384"/>
      <c r="I9" s="384"/>
      <c r="J9" s="384"/>
      <c r="K9" s="384"/>
      <c r="L9" s="384"/>
      <c r="M9" s="384"/>
    </row>
    <row r="10" spans="1:13" ht="19.5" customHeight="1">
      <c r="A10" s="219"/>
      <c r="B10" s="220"/>
      <c r="C10" s="220"/>
      <c r="D10" s="220"/>
      <c r="E10" s="220"/>
      <c r="F10" s="220"/>
      <c r="G10" s="220"/>
      <c r="H10" s="220"/>
      <c r="I10" s="220"/>
      <c r="J10" s="220"/>
      <c r="K10" s="220"/>
      <c r="L10" s="220"/>
      <c r="M10" s="220"/>
    </row>
    <row r="11" spans="1:13" ht="15" customHeight="1">
      <c r="A11" s="363" t="s">
        <v>315</v>
      </c>
      <c r="B11" s="363"/>
      <c r="C11" s="363"/>
      <c r="D11" s="363"/>
      <c r="E11" s="363"/>
      <c r="F11" s="363"/>
      <c r="G11" s="363"/>
      <c r="H11" s="363"/>
      <c r="I11" s="363"/>
      <c r="J11" s="363"/>
      <c r="K11" s="363"/>
      <c r="L11" s="363"/>
      <c r="M11" s="363"/>
    </row>
    <row r="12" spans="1:13" ht="13.5" customHeight="1">
      <c r="A12" s="363" t="s">
        <v>316</v>
      </c>
      <c r="B12" s="363"/>
      <c r="C12" s="363"/>
      <c r="D12" s="363"/>
      <c r="E12" s="363"/>
      <c r="F12" s="363"/>
      <c r="G12" s="363"/>
      <c r="H12" s="363"/>
      <c r="I12" s="363"/>
      <c r="J12" s="363"/>
      <c r="K12" s="363"/>
      <c r="L12" s="363"/>
      <c r="M12" s="363"/>
    </row>
    <row r="13" spans="1:13" ht="15" customHeight="1">
      <c r="A13" s="363" t="s">
        <v>317</v>
      </c>
      <c r="B13" s="363"/>
      <c r="C13" s="363"/>
      <c r="D13" s="363"/>
      <c r="E13" s="363"/>
      <c r="F13" s="363"/>
      <c r="G13" s="363"/>
      <c r="H13" s="363"/>
      <c r="I13" s="363"/>
      <c r="J13" s="363"/>
      <c r="K13" s="363"/>
      <c r="L13" s="363"/>
      <c r="M13" s="363"/>
    </row>
    <row r="14" spans="1:29" ht="13.5" customHeight="1" thickBot="1">
      <c r="A14" s="217"/>
      <c r="B14" s="218"/>
      <c r="C14" s="218"/>
      <c r="D14" s="218"/>
      <c r="E14" s="218"/>
      <c r="F14" s="218"/>
      <c r="G14" s="218"/>
      <c r="H14" s="218"/>
      <c r="I14" s="218"/>
      <c r="J14" s="218"/>
      <c r="K14" s="218"/>
      <c r="L14" s="218"/>
      <c r="M14" s="218"/>
      <c r="N14" s="215"/>
      <c r="O14" s="215"/>
      <c r="P14" s="215"/>
      <c r="Q14" s="215"/>
      <c r="R14" s="215"/>
      <c r="S14" s="215"/>
      <c r="T14" s="215"/>
      <c r="U14" s="215"/>
      <c r="V14" s="215"/>
      <c r="W14" s="215"/>
      <c r="X14" s="215"/>
      <c r="Y14" s="215"/>
      <c r="Z14" s="215"/>
      <c r="AA14" s="215"/>
      <c r="AB14" s="215"/>
      <c r="AC14" s="215"/>
    </row>
    <row r="15" spans="1:13" ht="18" customHeight="1">
      <c r="A15" s="364" t="s">
        <v>318</v>
      </c>
      <c r="B15" s="366" t="s">
        <v>215</v>
      </c>
      <c r="C15" s="367"/>
      <c r="D15" s="367"/>
      <c r="E15" s="367"/>
      <c r="F15" s="367"/>
      <c r="G15" s="367"/>
      <c r="H15" s="367"/>
      <c r="I15" s="367"/>
      <c r="J15" s="367"/>
      <c r="K15" s="367"/>
      <c r="L15" s="367"/>
      <c r="M15" s="368"/>
    </row>
    <row r="16" spans="1:13" ht="63" customHeight="1">
      <c r="A16" s="365"/>
      <c r="B16" s="369" t="s">
        <v>216</v>
      </c>
      <c r="C16" s="369"/>
      <c r="D16" s="369"/>
      <c r="E16" s="369" t="s">
        <v>217</v>
      </c>
      <c r="F16" s="369"/>
      <c r="G16" s="369"/>
      <c r="H16" s="369" t="s">
        <v>219</v>
      </c>
      <c r="I16" s="369"/>
      <c r="J16" s="369"/>
      <c r="K16" s="369" t="s">
        <v>218</v>
      </c>
      <c r="L16" s="369"/>
      <c r="M16" s="385"/>
    </row>
    <row r="17" spans="1:13" ht="24.75" customHeight="1">
      <c r="A17" s="365"/>
      <c r="B17" s="221" t="s">
        <v>312</v>
      </c>
      <c r="C17" s="213" t="s">
        <v>313</v>
      </c>
      <c r="D17" s="213" t="s">
        <v>308</v>
      </c>
      <c r="E17" s="213" t="str">
        <f>B17</f>
        <v>K</v>
      </c>
      <c r="F17" s="213" t="str">
        <f>C17</f>
        <v>M</v>
      </c>
      <c r="G17" s="213" t="str">
        <f>D17</f>
        <v>Ogółem</v>
      </c>
      <c r="H17" s="213" t="str">
        <f>B17</f>
        <v>K</v>
      </c>
      <c r="I17" s="213" t="str">
        <f>C17</f>
        <v>M</v>
      </c>
      <c r="J17" s="213" t="str">
        <f>D17</f>
        <v>Ogółem</v>
      </c>
      <c r="K17" s="213" t="str">
        <f>B17</f>
        <v>K</v>
      </c>
      <c r="L17" s="213" t="str">
        <f>C17</f>
        <v>M</v>
      </c>
      <c r="M17" s="222" t="s">
        <v>308</v>
      </c>
    </row>
    <row r="18" spans="1:13" ht="16.5" customHeight="1">
      <c r="A18" s="223">
        <v>1</v>
      </c>
      <c r="B18" s="224">
        <v>2</v>
      </c>
      <c r="C18" s="224">
        <v>3</v>
      </c>
      <c r="D18" s="224">
        <v>4</v>
      </c>
      <c r="E18" s="224">
        <v>5</v>
      </c>
      <c r="F18" s="224">
        <v>6</v>
      </c>
      <c r="G18" s="224">
        <v>7</v>
      </c>
      <c r="H18" s="224">
        <v>8</v>
      </c>
      <c r="I18" s="224">
        <v>9</v>
      </c>
      <c r="J18" s="224">
        <v>10</v>
      </c>
      <c r="K18" s="224">
        <v>11</v>
      </c>
      <c r="L18" s="224">
        <v>12</v>
      </c>
      <c r="M18" s="225">
        <v>13</v>
      </c>
    </row>
    <row r="19" spans="1:13" ht="16.5" customHeight="1">
      <c r="A19" s="374" t="s">
        <v>266</v>
      </c>
      <c r="B19" s="375"/>
      <c r="C19" s="375"/>
      <c r="D19" s="375"/>
      <c r="E19" s="375"/>
      <c r="F19" s="375"/>
      <c r="G19" s="375"/>
      <c r="H19" s="375"/>
      <c r="I19" s="375"/>
      <c r="J19" s="375"/>
      <c r="K19" s="375"/>
      <c r="L19" s="375"/>
      <c r="M19" s="376"/>
    </row>
    <row r="20" spans="1:13" ht="41.25" customHeight="1">
      <c r="A20" s="211" t="s">
        <v>319</v>
      </c>
      <c r="B20" s="228">
        <f>B21-12874</f>
        <v>2036</v>
      </c>
      <c r="C20" s="228">
        <f>C21-8812</f>
        <v>1277</v>
      </c>
      <c r="D20" s="268">
        <f>B20+C20</f>
        <v>3313</v>
      </c>
      <c r="E20" s="228">
        <f>E21-10847</f>
        <v>2476</v>
      </c>
      <c r="F20" s="228">
        <f>F21-7577</f>
        <v>1526</v>
      </c>
      <c r="G20" s="268">
        <f>E20+F20</f>
        <v>4002</v>
      </c>
      <c r="H20" s="228">
        <f>H21-628</f>
        <v>143</v>
      </c>
      <c r="I20" s="228">
        <f>I21-554</f>
        <v>105</v>
      </c>
      <c r="J20" s="268">
        <f>H20+I20</f>
        <v>248</v>
      </c>
      <c r="K20" s="379">
        <f>B21-E21-H21</f>
        <v>816</v>
      </c>
      <c r="L20" s="379">
        <f>C21-F21-I21</f>
        <v>327</v>
      </c>
      <c r="M20" s="372">
        <f>D21-G21-J21</f>
        <v>1143</v>
      </c>
    </row>
    <row r="21" spans="1:13" ht="43.5" customHeight="1">
      <c r="A21" s="213" t="s">
        <v>320</v>
      </c>
      <c r="B21" s="229">
        <f>2725+466+11719</f>
        <v>14910</v>
      </c>
      <c r="C21" s="229">
        <f>1756+27+8306</f>
        <v>10089</v>
      </c>
      <c r="D21" s="268">
        <f>B21+C21</f>
        <v>24999</v>
      </c>
      <c r="E21" s="229">
        <f>2511+343+10469</f>
        <v>13323</v>
      </c>
      <c r="F21" s="229">
        <f>1668+19+7416</f>
        <v>9103</v>
      </c>
      <c r="G21" s="268">
        <f>E21+F21</f>
        <v>22426</v>
      </c>
      <c r="H21" s="229">
        <f>159+21+591</f>
        <v>771</v>
      </c>
      <c r="I21" s="229">
        <f>82+4+573</f>
        <v>659</v>
      </c>
      <c r="J21" s="268">
        <f>H21+I21</f>
        <v>1430</v>
      </c>
      <c r="K21" s="380"/>
      <c r="L21" s="380"/>
      <c r="M21" s="373"/>
    </row>
    <row r="22" spans="1:13" ht="19.5" customHeight="1">
      <c r="A22" s="374" t="s">
        <v>276</v>
      </c>
      <c r="B22" s="375"/>
      <c r="C22" s="375"/>
      <c r="D22" s="375"/>
      <c r="E22" s="375"/>
      <c r="F22" s="375"/>
      <c r="G22" s="375"/>
      <c r="H22" s="375"/>
      <c r="I22" s="375"/>
      <c r="J22" s="375"/>
      <c r="K22" s="375"/>
      <c r="L22" s="375"/>
      <c r="M22" s="376"/>
    </row>
    <row r="23" spans="1:13" ht="41.25" customHeight="1">
      <c r="A23" s="211" t="s">
        <v>319</v>
      </c>
      <c r="B23" s="228">
        <f>B24-398</f>
        <v>132</v>
      </c>
      <c r="C23" s="228">
        <f>C24-412</f>
        <v>68</v>
      </c>
      <c r="D23" s="268">
        <f>B23+C23</f>
        <v>200</v>
      </c>
      <c r="E23" s="228">
        <f>E24-245</f>
        <v>95</v>
      </c>
      <c r="F23" s="228">
        <f>F24-241</f>
        <v>119</v>
      </c>
      <c r="G23" s="268">
        <f>E23+F23</f>
        <v>214</v>
      </c>
      <c r="H23" s="228">
        <f>H24-24</f>
        <v>22</v>
      </c>
      <c r="I23" s="228">
        <f>I24-12</f>
        <v>20</v>
      </c>
      <c r="J23" s="268">
        <f>H23+I23</f>
        <v>42</v>
      </c>
      <c r="K23" s="382">
        <f>B24-E24-H24</f>
        <v>144</v>
      </c>
      <c r="L23" s="382">
        <f>C24-F24-I24</f>
        <v>88</v>
      </c>
      <c r="M23" s="383">
        <f>D24-G24-J24</f>
        <v>232</v>
      </c>
    </row>
    <row r="24" spans="1:13" ht="43.5" customHeight="1">
      <c r="A24" s="213" t="s">
        <v>320</v>
      </c>
      <c r="B24" s="229">
        <v>530</v>
      </c>
      <c r="C24" s="229">
        <v>480</v>
      </c>
      <c r="D24" s="268">
        <f>B24+C24</f>
        <v>1010</v>
      </c>
      <c r="E24" s="229">
        <v>340</v>
      </c>
      <c r="F24" s="229">
        <v>360</v>
      </c>
      <c r="G24" s="268">
        <f>E24+F24</f>
        <v>700</v>
      </c>
      <c r="H24" s="229">
        <v>46</v>
      </c>
      <c r="I24" s="229">
        <v>32</v>
      </c>
      <c r="J24" s="268">
        <f>H24+I24</f>
        <v>78</v>
      </c>
      <c r="K24" s="379"/>
      <c r="L24" s="379"/>
      <c r="M24" s="372"/>
    </row>
    <row r="25" spans="1:13" ht="21" customHeight="1">
      <c r="A25" s="374" t="s">
        <v>278</v>
      </c>
      <c r="B25" s="375"/>
      <c r="C25" s="375"/>
      <c r="D25" s="375"/>
      <c r="E25" s="375"/>
      <c r="F25" s="375"/>
      <c r="G25" s="375"/>
      <c r="H25" s="375"/>
      <c r="I25" s="375"/>
      <c r="J25" s="375"/>
      <c r="K25" s="375"/>
      <c r="L25" s="375"/>
      <c r="M25" s="376"/>
    </row>
    <row r="26" spans="1:13" ht="41.25" customHeight="1">
      <c r="A26" s="211" t="s">
        <v>319</v>
      </c>
      <c r="B26" s="228">
        <f>B27-511</f>
        <v>74</v>
      </c>
      <c r="C26" s="228">
        <f>C27-213</f>
        <v>49</v>
      </c>
      <c r="D26" s="268">
        <f>B26+C26</f>
        <v>123</v>
      </c>
      <c r="E26" s="228">
        <f>E27-502</f>
        <v>54</v>
      </c>
      <c r="F26" s="228">
        <f>F27-200</f>
        <v>28</v>
      </c>
      <c r="G26" s="268">
        <f>E26+F26</f>
        <v>82</v>
      </c>
      <c r="H26" s="228">
        <f>H27-9</f>
        <v>1</v>
      </c>
      <c r="I26" s="228">
        <f>I27-13</f>
        <v>0</v>
      </c>
      <c r="J26" s="268">
        <f>H26+I26</f>
        <v>1</v>
      </c>
      <c r="K26" s="382">
        <f>B27-E27-H27</f>
        <v>19</v>
      </c>
      <c r="L26" s="382">
        <f>C27-F27-I27</f>
        <v>21</v>
      </c>
      <c r="M26" s="383">
        <f>D27-G27-J27</f>
        <v>40</v>
      </c>
    </row>
    <row r="27" spans="1:13" ht="43.5" customHeight="1">
      <c r="A27" s="213" t="s">
        <v>320</v>
      </c>
      <c r="B27" s="229">
        <v>585</v>
      </c>
      <c r="C27" s="229">
        <v>262</v>
      </c>
      <c r="D27" s="268">
        <f>B27+C27</f>
        <v>847</v>
      </c>
      <c r="E27" s="229">
        <v>556</v>
      </c>
      <c r="F27" s="229">
        <v>228</v>
      </c>
      <c r="G27" s="268">
        <f>E27+F27</f>
        <v>784</v>
      </c>
      <c r="H27" s="229">
        <v>10</v>
      </c>
      <c r="I27" s="229">
        <v>13</v>
      </c>
      <c r="J27" s="268">
        <f>H27+I27</f>
        <v>23</v>
      </c>
      <c r="K27" s="379"/>
      <c r="L27" s="379"/>
      <c r="M27" s="372"/>
    </row>
    <row r="28" spans="1:13" ht="20.25" customHeight="1">
      <c r="A28" s="374" t="s">
        <v>416</v>
      </c>
      <c r="B28" s="375"/>
      <c r="C28" s="375"/>
      <c r="D28" s="375"/>
      <c r="E28" s="375"/>
      <c r="F28" s="375"/>
      <c r="G28" s="375"/>
      <c r="H28" s="375"/>
      <c r="I28" s="375"/>
      <c r="J28" s="375"/>
      <c r="K28" s="375"/>
      <c r="L28" s="375"/>
      <c r="M28" s="376"/>
    </row>
    <row r="29" spans="1:13" ht="41.25" customHeight="1">
      <c r="A29" s="211" t="s">
        <v>319</v>
      </c>
      <c r="B29" s="268">
        <f>B20+B23+B26</f>
        <v>2242</v>
      </c>
      <c r="C29" s="268">
        <f aca="true" t="shared" si="0" ref="C29:J29">C20+C23+C26</f>
        <v>1394</v>
      </c>
      <c r="D29" s="268">
        <f t="shared" si="0"/>
        <v>3636</v>
      </c>
      <c r="E29" s="268">
        <f t="shared" si="0"/>
        <v>2625</v>
      </c>
      <c r="F29" s="268">
        <f t="shared" si="0"/>
        <v>1673</v>
      </c>
      <c r="G29" s="268">
        <f t="shared" si="0"/>
        <v>4298</v>
      </c>
      <c r="H29" s="268">
        <f t="shared" si="0"/>
        <v>166</v>
      </c>
      <c r="I29" s="268">
        <f t="shared" si="0"/>
        <v>125</v>
      </c>
      <c r="J29" s="268">
        <f t="shared" si="0"/>
        <v>291</v>
      </c>
      <c r="K29" s="372">
        <f>B30-E30-H30</f>
        <v>979</v>
      </c>
      <c r="L29" s="372">
        <f>C30-F30-I30</f>
        <v>436</v>
      </c>
      <c r="M29" s="372">
        <f>D30-G30-J30</f>
        <v>1415</v>
      </c>
    </row>
    <row r="30" spans="1:13" ht="43.5" customHeight="1">
      <c r="A30" s="213" t="s">
        <v>320</v>
      </c>
      <c r="B30" s="268">
        <f>B21+B24+B27</f>
        <v>16025</v>
      </c>
      <c r="C30" s="268">
        <f aca="true" t="shared" si="1" ref="C30:J30">C21+C24+C27</f>
        <v>10831</v>
      </c>
      <c r="D30" s="268">
        <f t="shared" si="1"/>
        <v>26856</v>
      </c>
      <c r="E30" s="268">
        <f t="shared" si="1"/>
        <v>14219</v>
      </c>
      <c r="F30" s="268">
        <f t="shared" si="1"/>
        <v>9691</v>
      </c>
      <c r="G30" s="268">
        <f t="shared" si="1"/>
        <v>23910</v>
      </c>
      <c r="H30" s="268">
        <f t="shared" si="1"/>
        <v>827</v>
      </c>
      <c r="I30" s="268">
        <f t="shared" si="1"/>
        <v>704</v>
      </c>
      <c r="J30" s="268">
        <f t="shared" si="1"/>
        <v>1531</v>
      </c>
      <c r="K30" s="373"/>
      <c r="L30" s="373"/>
      <c r="M30" s="373"/>
    </row>
    <row r="31" spans="1:13" ht="20.25" customHeight="1">
      <c r="A31" s="221" t="s">
        <v>314</v>
      </c>
      <c r="B31" s="381"/>
      <c r="C31" s="381"/>
      <c r="D31" s="381"/>
      <c r="E31" s="381"/>
      <c r="F31" s="381"/>
      <c r="G31" s="381"/>
      <c r="H31" s="381"/>
      <c r="I31" s="381"/>
      <c r="J31" s="381"/>
      <c r="K31" s="381"/>
      <c r="L31" s="381"/>
      <c r="M31" s="381"/>
    </row>
    <row r="33" spans="1:2" ht="19.5" customHeight="1">
      <c r="A33" s="378" t="s">
        <v>309</v>
      </c>
      <c r="B33" s="378"/>
    </row>
    <row r="34" spans="1:7" ht="18.75" customHeight="1">
      <c r="A34" s="377" t="s">
        <v>310</v>
      </c>
      <c r="B34" s="377"/>
      <c r="C34" s="377"/>
      <c r="D34" s="377"/>
      <c r="E34" s="377"/>
      <c r="F34" s="377"/>
      <c r="G34" s="377"/>
    </row>
  </sheetData>
  <sheetProtection selectLockedCells="1" selectUnlockedCells="1"/>
  <mergeCells count="33">
    <mergeCell ref="H16:J16"/>
    <mergeCell ref="K16:M16"/>
    <mergeCell ref="A12:M12"/>
    <mergeCell ref="A13:M13"/>
    <mergeCell ref="A25:M25"/>
    <mergeCell ref="A28:M28"/>
    <mergeCell ref="B31:M31"/>
    <mergeCell ref="K23:K24"/>
    <mergeCell ref="L23:L24"/>
    <mergeCell ref="K26:K27"/>
    <mergeCell ref="L26:L27"/>
    <mergeCell ref="M26:M27"/>
    <mergeCell ref="M23:M24"/>
    <mergeCell ref="K29:K30"/>
    <mergeCell ref="L29:L30"/>
    <mergeCell ref="M29:M30"/>
    <mergeCell ref="A19:M19"/>
    <mergeCell ref="A22:M22"/>
    <mergeCell ref="A34:G34"/>
    <mergeCell ref="A33:B33"/>
    <mergeCell ref="K20:K21"/>
    <mergeCell ref="L20:L21"/>
    <mergeCell ref="M20:M21"/>
    <mergeCell ref="A1:M1"/>
    <mergeCell ref="A11:M11"/>
    <mergeCell ref="A15:A17"/>
    <mergeCell ref="B15:M15"/>
    <mergeCell ref="B16:D16"/>
    <mergeCell ref="B3:M3"/>
    <mergeCell ref="B5:M5"/>
    <mergeCell ref="B7:M7"/>
    <mergeCell ref="A9:M9"/>
    <mergeCell ref="E16:G16"/>
  </mergeCells>
  <printOptions/>
  <pageMargins left="0.5902777777777778" right="0.5902777777777778" top="0.984027777777778" bottom="0.9840277777777778" header="0.5118055555555556" footer="0.5118055555555556"/>
  <pageSetup horizontalDpi="300" verticalDpi="300" orientation="landscape" paperSize="9" scale="89" r:id="rId1"/>
</worksheet>
</file>

<file path=xl/worksheets/sheet3.xml><?xml version="1.0" encoding="utf-8"?>
<worksheet xmlns="http://schemas.openxmlformats.org/spreadsheetml/2006/main" xmlns:r="http://schemas.openxmlformats.org/officeDocument/2006/relationships">
  <dimension ref="A1:H100"/>
  <sheetViews>
    <sheetView tabSelected="1" view="pageBreakPreview" zoomScaleSheetLayoutView="100" zoomScalePageLayoutView="0" workbookViewId="0" topLeftCell="A31">
      <selection activeCell="B38" sqref="B38:H38"/>
    </sheetView>
  </sheetViews>
  <sheetFormatPr defaultColWidth="9.140625" defaultRowHeight="12.75"/>
  <cols>
    <col min="1" max="1" width="5.00390625" style="202" customWidth="1"/>
    <col min="2" max="2" width="37.8515625" style="202" customWidth="1"/>
    <col min="3" max="8" width="8.7109375" style="202" customWidth="1"/>
    <col min="9" max="16384" width="9.140625" style="202" customWidth="1"/>
  </cols>
  <sheetData>
    <row r="1" spans="1:8" ht="29.25" customHeight="1">
      <c r="A1" s="403" t="s">
        <v>54</v>
      </c>
      <c r="B1" s="403"/>
      <c r="C1" s="403"/>
      <c r="D1" s="403"/>
      <c r="E1" s="403"/>
      <c r="F1" s="403"/>
      <c r="G1" s="403"/>
      <c r="H1" s="403"/>
    </row>
    <row r="2" spans="3:8" ht="12" customHeight="1">
      <c r="C2" s="218"/>
      <c r="D2" s="218"/>
      <c r="E2" s="218"/>
      <c r="F2" s="218"/>
      <c r="G2" s="218"/>
      <c r="H2" s="251"/>
    </row>
    <row r="3" spans="1:8" ht="115.5" customHeight="1">
      <c r="A3" s="400" t="s">
        <v>290</v>
      </c>
      <c r="B3" s="400"/>
      <c r="C3" s="404" t="s">
        <v>407</v>
      </c>
      <c r="D3" s="405"/>
      <c r="E3" s="405"/>
      <c r="F3" s="405"/>
      <c r="G3" s="405"/>
      <c r="H3" s="406"/>
    </row>
    <row r="4" spans="1:8" ht="15" customHeight="1">
      <c r="A4" s="252"/>
      <c r="B4" s="253"/>
      <c r="C4" s="251"/>
      <c r="D4" s="251"/>
      <c r="E4" s="251"/>
      <c r="F4" s="251"/>
      <c r="G4" s="251"/>
      <c r="H4" s="251"/>
    </row>
    <row r="5" spans="1:8" ht="15.75" customHeight="1">
      <c r="A5" s="407" t="s">
        <v>306</v>
      </c>
      <c r="B5" s="407"/>
      <c r="C5" s="371" t="s">
        <v>408</v>
      </c>
      <c r="D5" s="371"/>
      <c r="E5" s="371"/>
      <c r="F5" s="371"/>
      <c r="G5" s="371"/>
      <c r="H5" s="371"/>
    </row>
    <row r="6" spans="1:2" ht="15" customHeight="1">
      <c r="A6" s="252"/>
      <c r="B6" s="252"/>
    </row>
    <row r="7" spans="1:8" ht="16.5" customHeight="1">
      <c r="A7" s="400" t="s">
        <v>307</v>
      </c>
      <c r="B7" s="400"/>
      <c r="C7" s="371" t="s">
        <v>409</v>
      </c>
      <c r="D7" s="371"/>
      <c r="E7" s="371"/>
      <c r="F7" s="371"/>
      <c r="G7" s="371"/>
      <c r="H7" s="371"/>
    </row>
    <row r="8" spans="1:8" ht="15.75">
      <c r="A8" s="251"/>
      <c r="B8" s="251"/>
      <c r="C8" s="218"/>
      <c r="D8" s="218"/>
      <c r="E8" s="218"/>
      <c r="F8" s="218"/>
      <c r="G8" s="218"/>
      <c r="H8" s="218"/>
    </row>
    <row r="9" spans="1:8" ht="87.75" customHeight="1">
      <c r="A9" s="401" t="s">
        <v>413</v>
      </c>
      <c r="B9" s="401"/>
      <c r="C9" s="401"/>
      <c r="D9" s="401"/>
      <c r="E9" s="401"/>
      <c r="F9" s="401"/>
      <c r="G9" s="401"/>
      <c r="H9" s="401"/>
    </row>
    <row r="10" spans="1:8" s="254" customFormat="1" ht="82.5" customHeight="1">
      <c r="A10" s="401" t="s">
        <v>414</v>
      </c>
      <c r="B10" s="402"/>
      <c r="C10" s="402"/>
      <c r="D10" s="402"/>
      <c r="E10" s="402"/>
      <c r="F10" s="402"/>
      <c r="G10" s="402"/>
      <c r="H10" s="402"/>
    </row>
    <row r="11" spans="1:8" s="254" customFormat="1" ht="207" customHeight="1">
      <c r="A11" s="401" t="s">
        <v>415</v>
      </c>
      <c r="B11" s="402"/>
      <c r="C11" s="402"/>
      <c r="D11" s="402"/>
      <c r="E11" s="402"/>
      <c r="F11" s="402"/>
      <c r="G11" s="402"/>
      <c r="H11" s="402"/>
    </row>
    <row r="12" spans="1:8" s="254" customFormat="1" ht="19.5" customHeight="1">
      <c r="A12" s="255"/>
      <c r="B12" s="227"/>
      <c r="C12" s="227"/>
      <c r="D12" s="227"/>
      <c r="E12" s="227"/>
      <c r="F12" s="227"/>
      <c r="G12" s="227"/>
      <c r="H12" s="227"/>
    </row>
    <row r="13" spans="1:8" ht="15" customHeight="1">
      <c r="A13" s="396" t="s">
        <v>315</v>
      </c>
      <c r="B13" s="396"/>
      <c r="C13" s="396"/>
      <c r="D13" s="396"/>
      <c r="E13" s="396"/>
      <c r="F13" s="256"/>
      <c r="G13" s="256"/>
      <c r="H13" s="256"/>
    </row>
    <row r="14" spans="1:8" ht="13.5" customHeight="1">
      <c r="A14" s="363" t="s">
        <v>316</v>
      </c>
      <c r="B14" s="363"/>
      <c r="C14" s="363"/>
      <c r="D14" s="363"/>
      <c r="E14" s="363"/>
      <c r="F14" s="363"/>
      <c r="G14" s="363"/>
      <c r="H14" s="363"/>
    </row>
    <row r="15" spans="1:8" ht="15" customHeight="1">
      <c r="A15" s="363" t="s">
        <v>317</v>
      </c>
      <c r="B15" s="363"/>
      <c r="C15" s="363"/>
      <c r="D15" s="363"/>
      <c r="E15" s="363"/>
      <c r="F15" s="363"/>
      <c r="G15" s="363"/>
      <c r="H15" s="363"/>
    </row>
    <row r="16" spans="1:5" ht="15" customHeight="1" thickBot="1">
      <c r="A16" s="257"/>
      <c r="B16" s="258"/>
      <c r="C16" s="258"/>
      <c r="D16" s="258"/>
      <c r="E16" s="258"/>
    </row>
    <row r="17" spans="1:8" ht="12.75" customHeight="1">
      <c r="A17" s="392" t="s">
        <v>321</v>
      </c>
      <c r="B17" s="394" t="s">
        <v>322</v>
      </c>
      <c r="C17" s="398" t="s">
        <v>319</v>
      </c>
      <c r="D17" s="398"/>
      <c r="E17" s="398"/>
      <c r="F17" s="398" t="s">
        <v>320</v>
      </c>
      <c r="G17" s="398"/>
      <c r="H17" s="399"/>
    </row>
    <row r="18" spans="1:8" ht="15.75">
      <c r="A18" s="393"/>
      <c r="B18" s="395"/>
      <c r="C18" s="230" t="s">
        <v>312</v>
      </c>
      <c r="D18" s="230" t="s">
        <v>313</v>
      </c>
      <c r="E18" s="230" t="s">
        <v>308</v>
      </c>
      <c r="F18" s="230" t="s">
        <v>312</v>
      </c>
      <c r="G18" s="230" t="s">
        <v>313</v>
      </c>
      <c r="H18" s="231" t="s">
        <v>308</v>
      </c>
    </row>
    <row r="19" spans="1:8" ht="16.5" thickBot="1">
      <c r="A19" s="232">
        <v>1</v>
      </c>
      <c r="B19" s="233">
        <v>2</v>
      </c>
      <c r="C19" s="233">
        <v>3</v>
      </c>
      <c r="D19" s="233">
        <v>4</v>
      </c>
      <c r="E19" s="233">
        <v>5</v>
      </c>
      <c r="F19" s="233">
        <v>6</v>
      </c>
      <c r="G19" s="233">
        <v>7</v>
      </c>
      <c r="H19" s="234">
        <v>8</v>
      </c>
    </row>
    <row r="20" spans="1:8" ht="15.75">
      <c r="A20" s="386" t="s">
        <v>266</v>
      </c>
      <c r="B20" s="387"/>
      <c r="C20" s="387"/>
      <c r="D20" s="387"/>
      <c r="E20" s="387"/>
      <c r="F20" s="387"/>
      <c r="G20" s="387"/>
      <c r="H20" s="387"/>
    </row>
    <row r="21" spans="1:8" ht="24.75" customHeight="1">
      <c r="A21" s="235">
        <v>1</v>
      </c>
      <c r="B21" s="236" t="s">
        <v>323</v>
      </c>
      <c r="C21" s="237">
        <f>F21-11527</f>
        <v>1935</v>
      </c>
      <c r="D21" s="237">
        <f>G21-8246</f>
        <v>1270</v>
      </c>
      <c r="E21" s="237">
        <f>C21+D21</f>
        <v>3205</v>
      </c>
      <c r="F21" s="237">
        <f>11719+1743</f>
        <v>13462</v>
      </c>
      <c r="G21" s="237">
        <f>8306+1210</f>
        <v>9516</v>
      </c>
      <c r="H21" s="237">
        <f>F21+G21</f>
        <v>22978</v>
      </c>
    </row>
    <row r="22" spans="1:8" ht="24.75" customHeight="1">
      <c r="A22" s="238"/>
      <c r="B22" s="239" t="s">
        <v>324</v>
      </c>
      <c r="C22" s="240">
        <f>F22-3291</f>
        <v>765</v>
      </c>
      <c r="D22" s="240">
        <f>G22-1772</f>
        <v>437</v>
      </c>
      <c r="E22" s="237">
        <f aca="true" t="shared" si="0" ref="E22:E38">C22+D22</f>
        <v>1202</v>
      </c>
      <c r="F22" s="240">
        <f>3444+612</f>
        <v>4056</v>
      </c>
      <c r="G22" s="240">
        <f>1941+268</f>
        <v>2209</v>
      </c>
      <c r="H22" s="237">
        <f aca="true" t="shared" si="1" ref="H22:H38">F22+G22</f>
        <v>6265</v>
      </c>
    </row>
    <row r="23" spans="1:8" ht="24.75" customHeight="1">
      <c r="A23" s="241">
        <v>2</v>
      </c>
      <c r="B23" s="242" t="s">
        <v>325</v>
      </c>
      <c r="C23" s="243">
        <f>F23-915</f>
        <v>5</v>
      </c>
      <c r="D23" s="243">
        <f>G23-530</f>
        <v>2</v>
      </c>
      <c r="E23" s="237">
        <f t="shared" si="0"/>
        <v>7</v>
      </c>
      <c r="F23" s="243">
        <v>920</v>
      </c>
      <c r="G23" s="243">
        <v>532</v>
      </c>
      <c r="H23" s="237">
        <f t="shared" si="1"/>
        <v>1452</v>
      </c>
    </row>
    <row r="24" spans="1:8" ht="24.75" customHeight="1">
      <c r="A24" s="244"/>
      <c r="B24" s="239" t="s">
        <v>326</v>
      </c>
      <c r="C24" s="240">
        <v>0</v>
      </c>
      <c r="D24" s="240">
        <v>0</v>
      </c>
      <c r="E24" s="237">
        <f t="shared" si="0"/>
        <v>0</v>
      </c>
      <c r="F24" s="240">
        <v>82</v>
      </c>
      <c r="G24" s="240">
        <v>32</v>
      </c>
      <c r="H24" s="269">
        <f t="shared" si="1"/>
        <v>114</v>
      </c>
    </row>
    <row r="25" spans="1:8" ht="24.75" customHeight="1">
      <c r="A25" s="245">
        <v>3</v>
      </c>
      <c r="B25" s="246" t="s">
        <v>327</v>
      </c>
      <c r="C25" s="243">
        <f aca="true" t="shared" si="2" ref="C25:H25">SUM(C26:C33)</f>
        <v>96</v>
      </c>
      <c r="D25" s="243">
        <f t="shared" si="2"/>
        <v>5</v>
      </c>
      <c r="E25" s="243">
        <f t="shared" si="2"/>
        <v>101</v>
      </c>
      <c r="F25" s="243">
        <f t="shared" si="2"/>
        <v>528</v>
      </c>
      <c r="G25" s="243">
        <f t="shared" si="2"/>
        <v>41</v>
      </c>
      <c r="H25" s="243">
        <f t="shared" si="2"/>
        <v>569</v>
      </c>
    </row>
    <row r="26" spans="1:8" ht="30.75" customHeight="1">
      <c r="A26" s="247"/>
      <c r="B26" s="248" t="s">
        <v>375</v>
      </c>
      <c r="C26" s="240">
        <v>0</v>
      </c>
      <c r="D26" s="240">
        <v>0</v>
      </c>
      <c r="E26" s="237">
        <f t="shared" si="0"/>
        <v>0</v>
      </c>
      <c r="F26" s="240">
        <v>0</v>
      </c>
      <c r="G26" s="240">
        <v>0</v>
      </c>
      <c r="H26" s="237">
        <f t="shared" si="1"/>
        <v>0</v>
      </c>
    </row>
    <row r="27" spans="1:8" ht="30.75" customHeight="1">
      <c r="A27" s="247"/>
      <c r="B27" s="248" t="s">
        <v>328</v>
      </c>
      <c r="C27" s="240">
        <v>0</v>
      </c>
      <c r="D27" s="240">
        <v>0</v>
      </c>
      <c r="E27" s="237">
        <f t="shared" si="0"/>
        <v>0</v>
      </c>
      <c r="F27" s="240">
        <v>0</v>
      </c>
      <c r="G27" s="240">
        <v>0</v>
      </c>
      <c r="H27" s="237">
        <f t="shared" si="1"/>
        <v>0</v>
      </c>
    </row>
    <row r="28" spans="1:8" ht="31.5" customHeight="1">
      <c r="A28" s="247"/>
      <c r="B28" s="248" t="s">
        <v>329</v>
      </c>
      <c r="C28" s="240">
        <v>0</v>
      </c>
      <c r="D28" s="240">
        <v>0</v>
      </c>
      <c r="E28" s="237">
        <f t="shared" si="0"/>
        <v>0</v>
      </c>
      <c r="F28" s="240">
        <v>0</v>
      </c>
      <c r="G28" s="240">
        <v>0</v>
      </c>
      <c r="H28" s="237">
        <f t="shared" si="1"/>
        <v>0</v>
      </c>
    </row>
    <row r="29" spans="1:8" ht="30" customHeight="1">
      <c r="A29" s="247"/>
      <c r="B29" s="249" t="s">
        <v>225</v>
      </c>
      <c r="C29" s="240">
        <v>0</v>
      </c>
      <c r="D29" s="240">
        <v>0</v>
      </c>
      <c r="E29" s="237">
        <f t="shared" si="0"/>
        <v>0</v>
      </c>
      <c r="F29" s="240">
        <v>0</v>
      </c>
      <c r="G29" s="240">
        <v>0</v>
      </c>
      <c r="H29" s="237">
        <f t="shared" si="1"/>
        <v>0</v>
      </c>
    </row>
    <row r="30" spans="1:8" ht="30" customHeight="1">
      <c r="A30" s="247"/>
      <c r="B30" s="249" t="s">
        <v>226</v>
      </c>
      <c r="C30" s="240">
        <v>0</v>
      </c>
      <c r="D30" s="240">
        <v>0</v>
      </c>
      <c r="E30" s="237">
        <f t="shared" si="0"/>
        <v>0</v>
      </c>
      <c r="F30" s="240">
        <v>0</v>
      </c>
      <c r="G30" s="240">
        <v>0</v>
      </c>
      <c r="H30" s="237">
        <f t="shared" si="1"/>
        <v>0</v>
      </c>
    </row>
    <row r="31" spans="1:8" ht="30" customHeight="1">
      <c r="A31" s="247"/>
      <c r="B31" s="249" t="s">
        <v>330</v>
      </c>
      <c r="C31" s="240">
        <v>0</v>
      </c>
      <c r="D31" s="240">
        <v>0</v>
      </c>
      <c r="E31" s="237">
        <f t="shared" si="0"/>
        <v>0</v>
      </c>
      <c r="F31" s="240">
        <v>0</v>
      </c>
      <c r="G31" s="240">
        <v>0</v>
      </c>
      <c r="H31" s="237">
        <f t="shared" si="1"/>
        <v>0</v>
      </c>
    </row>
    <row r="32" spans="1:8" ht="30" customHeight="1">
      <c r="A32" s="247"/>
      <c r="B32" s="249" t="s">
        <v>210</v>
      </c>
      <c r="C32" s="240">
        <f>F32-420</f>
        <v>96</v>
      </c>
      <c r="D32" s="240">
        <f>G32-31</f>
        <v>5</v>
      </c>
      <c r="E32" s="237">
        <f t="shared" si="0"/>
        <v>101</v>
      </c>
      <c r="F32" s="240">
        <f>466+50</f>
        <v>516</v>
      </c>
      <c r="G32" s="240">
        <f>27+9</f>
        <v>36</v>
      </c>
      <c r="H32" s="237">
        <f t="shared" si="1"/>
        <v>552</v>
      </c>
    </row>
    <row r="33" spans="1:8" ht="25.5">
      <c r="A33" s="247"/>
      <c r="B33" s="249" t="s">
        <v>211</v>
      </c>
      <c r="C33" s="240">
        <v>0</v>
      </c>
      <c r="D33" s="240">
        <v>0</v>
      </c>
      <c r="E33" s="237">
        <f t="shared" si="0"/>
        <v>0</v>
      </c>
      <c r="F33" s="240">
        <v>12</v>
      </c>
      <c r="G33" s="240">
        <v>5</v>
      </c>
      <c r="H33" s="237">
        <f t="shared" si="1"/>
        <v>17</v>
      </c>
    </row>
    <row r="34" spans="1:8" s="259" customFormat="1" ht="24.75" customHeight="1">
      <c r="A34" s="245">
        <v>4</v>
      </c>
      <c r="B34" s="250" t="s">
        <v>308</v>
      </c>
      <c r="C34" s="243">
        <f aca="true" t="shared" si="3" ref="C34:H34">C25+C23+C21</f>
        <v>2036</v>
      </c>
      <c r="D34" s="243">
        <f t="shared" si="3"/>
        <v>1277</v>
      </c>
      <c r="E34" s="243">
        <f t="shared" si="3"/>
        <v>3313</v>
      </c>
      <c r="F34" s="243">
        <f t="shared" si="3"/>
        <v>14910</v>
      </c>
      <c r="G34" s="243">
        <f t="shared" si="3"/>
        <v>10089</v>
      </c>
      <c r="H34" s="243">
        <f t="shared" si="3"/>
        <v>24999</v>
      </c>
    </row>
    <row r="35" spans="1:8" s="259" customFormat="1" ht="26.25" customHeight="1">
      <c r="A35" s="247"/>
      <c r="B35" s="249" t="s">
        <v>296</v>
      </c>
      <c r="C35" s="240">
        <v>0</v>
      </c>
      <c r="D35" s="240">
        <v>0</v>
      </c>
      <c r="E35" s="237">
        <f t="shared" si="0"/>
        <v>0</v>
      </c>
      <c r="F35" s="240">
        <v>0</v>
      </c>
      <c r="G35" s="240">
        <v>0</v>
      </c>
      <c r="H35" s="237">
        <f t="shared" si="1"/>
        <v>0</v>
      </c>
    </row>
    <row r="36" spans="1:8" s="259" customFormat="1" ht="24.75" customHeight="1">
      <c r="A36" s="247"/>
      <c r="B36" s="249" t="s">
        <v>333</v>
      </c>
      <c r="C36" s="240">
        <v>0</v>
      </c>
      <c r="D36" s="240">
        <v>0</v>
      </c>
      <c r="E36" s="237">
        <f t="shared" si="0"/>
        <v>0</v>
      </c>
      <c r="F36" s="240">
        <v>0</v>
      </c>
      <c r="G36" s="240">
        <v>0</v>
      </c>
      <c r="H36" s="237">
        <f t="shared" si="1"/>
        <v>0</v>
      </c>
    </row>
    <row r="37" spans="1:8" s="259" customFormat="1" ht="24.75" customHeight="1">
      <c r="A37" s="247"/>
      <c r="B37" s="249" t="s">
        <v>332</v>
      </c>
      <c r="C37" s="240">
        <f>F37-989</f>
        <v>239</v>
      </c>
      <c r="D37" s="240">
        <f>G37-592</f>
        <v>107</v>
      </c>
      <c r="E37" s="237">
        <f t="shared" si="0"/>
        <v>346</v>
      </c>
      <c r="F37" s="240">
        <f>772+10+446</f>
        <v>1228</v>
      </c>
      <c r="G37" s="240">
        <f>394+305</f>
        <v>699</v>
      </c>
      <c r="H37" s="237">
        <f t="shared" si="1"/>
        <v>1927</v>
      </c>
    </row>
    <row r="38" spans="1:8" s="259" customFormat="1" ht="24.75" customHeight="1">
      <c r="A38" s="212"/>
      <c r="B38" s="249" t="s">
        <v>221</v>
      </c>
      <c r="C38" s="240">
        <f>F38-4854+20</f>
        <v>416</v>
      </c>
      <c r="D38" s="240">
        <f>G38-3301</f>
        <v>456</v>
      </c>
      <c r="E38" s="237">
        <f t="shared" si="0"/>
        <v>872</v>
      </c>
      <c r="F38" s="240">
        <f>4314+107+829</f>
        <v>5250</v>
      </c>
      <c r="G38" s="240">
        <v>3757</v>
      </c>
      <c r="H38" s="237">
        <f t="shared" si="1"/>
        <v>9007</v>
      </c>
    </row>
    <row r="39" spans="1:8" ht="15.75">
      <c r="A39" s="386" t="s">
        <v>276</v>
      </c>
      <c r="B39" s="387"/>
      <c r="C39" s="387"/>
      <c r="D39" s="387"/>
      <c r="E39" s="387"/>
      <c r="F39" s="387"/>
      <c r="G39" s="387"/>
      <c r="H39" s="387"/>
    </row>
    <row r="40" spans="1:8" ht="24.75" customHeight="1">
      <c r="A40" s="235">
        <v>1</v>
      </c>
      <c r="B40" s="236" t="s">
        <v>323</v>
      </c>
      <c r="C40" s="237">
        <v>48</v>
      </c>
      <c r="D40" s="237">
        <v>35</v>
      </c>
      <c r="E40" s="237">
        <f>C40+D40</f>
        <v>83</v>
      </c>
      <c r="F40" s="237">
        <v>244</v>
      </c>
      <c r="G40" s="237">
        <v>252</v>
      </c>
      <c r="H40" s="237">
        <f>F40+G40</f>
        <v>496</v>
      </c>
    </row>
    <row r="41" spans="1:8" ht="24.75" customHeight="1">
      <c r="A41" s="238"/>
      <c r="B41" s="239" t="s">
        <v>324</v>
      </c>
      <c r="C41" s="240">
        <v>24</v>
      </c>
      <c r="D41" s="240">
        <v>18</v>
      </c>
      <c r="E41" s="237">
        <f>C41+D41</f>
        <v>42</v>
      </c>
      <c r="F41" s="240">
        <v>99</v>
      </c>
      <c r="G41" s="240">
        <v>94</v>
      </c>
      <c r="H41" s="237">
        <f>F41+G41</f>
        <v>193</v>
      </c>
    </row>
    <row r="42" spans="1:8" ht="24.75" customHeight="1">
      <c r="A42" s="241">
        <v>2</v>
      </c>
      <c r="B42" s="242" t="s">
        <v>325</v>
      </c>
      <c r="C42" s="243">
        <v>32</v>
      </c>
      <c r="D42" s="243">
        <v>23</v>
      </c>
      <c r="E42" s="237">
        <f>C42+D42</f>
        <v>55</v>
      </c>
      <c r="F42" s="243">
        <v>109</v>
      </c>
      <c r="G42" s="243">
        <v>113</v>
      </c>
      <c r="H42" s="237">
        <f>F42+G42</f>
        <v>222</v>
      </c>
    </row>
    <row r="43" spans="1:8" ht="24.75" customHeight="1">
      <c r="A43" s="244"/>
      <c r="B43" s="239" t="s">
        <v>326</v>
      </c>
      <c r="C43" s="240">
        <v>12</v>
      </c>
      <c r="D43" s="240">
        <v>12</v>
      </c>
      <c r="E43" s="237">
        <f>C43+D43</f>
        <v>24</v>
      </c>
      <c r="F43" s="240">
        <v>40</v>
      </c>
      <c r="G43" s="240">
        <v>52</v>
      </c>
      <c r="H43" s="237">
        <f>F43+G43</f>
        <v>92</v>
      </c>
    </row>
    <row r="44" spans="1:8" ht="24.75" customHeight="1">
      <c r="A44" s="245">
        <v>3</v>
      </c>
      <c r="B44" s="246" t="s">
        <v>327</v>
      </c>
      <c r="C44" s="243">
        <f aca="true" t="shared" si="4" ref="C44:H44">SUM(C45:C52)</f>
        <v>52</v>
      </c>
      <c r="D44" s="243">
        <f t="shared" si="4"/>
        <v>10</v>
      </c>
      <c r="E44" s="243">
        <f t="shared" si="4"/>
        <v>62</v>
      </c>
      <c r="F44" s="243">
        <f t="shared" si="4"/>
        <v>177</v>
      </c>
      <c r="G44" s="243">
        <f t="shared" si="4"/>
        <v>115</v>
      </c>
      <c r="H44" s="243">
        <f t="shared" si="4"/>
        <v>292</v>
      </c>
    </row>
    <row r="45" spans="1:8" ht="30.75" customHeight="1">
      <c r="A45" s="247"/>
      <c r="B45" s="248" t="s">
        <v>375</v>
      </c>
      <c r="C45" s="240">
        <v>0</v>
      </c>
      <c r="D45" s="240">
        <v>0</v>
      </c>
      <c r="E45" s="237">
        <f aca="true" t="shared" si="5" ref="E45:E52">C45+D45</f>
        <v>0</v>
      </c>
      <c r="F45" s="240">
        <v>1</v>
      </c>
      <c r="G45" s="240">
        <v>6</v>
      </c>
      <c r="H45" s="237">
        <f aca="true" t="shared" si="6" ref="H45:H52">F45+G45</f>
        <v>7</v>
      </c>
    </row>
    <row r="46" spans="1:8" ht="30.75" customHeight="1">
      <c r="A46" s="247"/>
      <c r="B46" s="248" t="s">
        <v>328</v>
      </c>
      <c r="C46" s="240">
        <v>0</v>
      </c>
      <c r="D46" s="240">
        <v>0</v>
      </c>
      <c r="E46" s="237">
        <f t="shared" si="5"/>
        <v>0</v>
      </c>
      <c r="F46" s="240">
        <v>0</v>
      </c>
      <c r="G46" s="240">
        <v>0</v>
      </c>
      <c r="H46" s="237">
        <f t="shared" si="6"/>
        <v>0</v>
      </c>
    </row>
    <row r="47" spans="1:8" ht="31.5" customHeight="1">
      <c r="A47" s="247"/>
      <c r="B47" s="248" t="s">
        <v>329</v>
      </c>
      <c r="C47" s="240">
        <v>12</v>
      </c>
      <c r="D47" s="240">
        <v>5</v>
      </c>
      <c r="E47" s="237">
        <f t="shared" si="5"/>
        <v>17</v>
      </c>
      <c r="F47" s="240">
        <v>46</v>
      </c>
      <c r="G47" s="240">
        <v>26</v>
      </c>
      <c r="H47" s="237">
        <f t="shared" si="6"/>
        <v>72</v>
      </c>
    </row>
    <row r="48" spans="1:8" ht="30" customHeight="1">
      <c r="A48" s="247"/>
      <c r="B48" s="249" t="s">
        <v>225</v>
      </c>
      <c r="C48" s="240">
        <f>22-18</f>
        <v>4</v>
      </c>
      <c r="D48" s="240">
        <v>1</v>
      </c>
      <c r="E48" s="237">
        <f t="shared" si="5"/>
        <v>5</v>
      </c>
      <c r="F48" s="240">
        <v>22</v>
      </c>
      <c r="G48" s="240">
        <v>26</v>
      </c>
      <c r="H48" s="237">
        <f t="shared" si="6"/>
        <v>48</v>
      </c>
    </row>
    <row r="49" spans="1:8" ht="30" customHeight="1">
      <c r="A49" s="247"/>
      <c r="B49" s="249" t="s">
        <v>226</v>
      </c>
      <c r="C49" s="240">
        <v>6</v>
      </c>
      <c r="D49" s="240">
        <f>14-11</f>
        <v>3</v>
      </c>
      <c r="E49" s="237">
        <f t="shared" si="5"/>
        <v>9</v>
      </c>
      <c r="F49" s="240">
        <v>25</v>
      </c>
      <c r="G49" s="240">
        <v>14</v>
      </c>
      <c r="H49" s="237">
        <f t="shared" si="6"/>
        <v>39</v>
      </c>
    </row>
    <row r="50" spans="1:8" ht="30" customHeight="1">
      <c r="A50" s="247"/>
      <c r="B50" s="249" t="s">
        <v>330</v>
      </c>
      <c r="C50" s="240">
        <f>31-23</f>
        <v>8</v>
      </c>
      <c r="D50" s="240">
        <v>0</v>
      </c>
      <c r="E50" s="237">
        <f t="shared" si="5"/>
        <v>8</v>
      </c>
      <c r="F50" s="240">
        <v>31</v>
      </c>
      <c r="G50" s="240">
        <v>20</v>
      </c>
      <c r="H50" s="237">
        <f t="shared" si="6"/>
        <v>51</v>
      </c>
    </row>
    <row r="51" spans="1:8" ht="30" customHeight="1">
      <c r="A51" s="247"/>
      <c r="B51" s="249" t="s">
        <v>210</v>
      </c>
      <c r="C51" s="240">
        <v>22</v>
      </c>
      <c r="D51" s="240">
        <v>1</v>
      </c>
      <c r="E51" s="237">
        <f t="shared" si="5"/>
        <v>23</v>
      </c>
      <c r="F51" s="240">
        <v>52</v>
      </c>
      <c r="G51" s="240">
        <v>22</v>
      </c>
      <c r="H51" s="237">
        <f t="shared" si="6"/>
        <v>74</v>
      </c>
    </row>
    <row r="52" spans="1:8" ht="25.5">
      <c r="A52" s="247"/>
      <c r="B52" s="249" t="s">
        <v>211</v>
      </c>
      <c r="C52" s="240">
        <f>0</f>
        <v>0</v>
      </c>
      <c r="D52" s="240">
        <v>0</v>
      </c>
      <c r="E52" s="237">
        <f t="shared" si="5"/>
        <v>0</v>
      </c>
      <c r="F52" s="240">
        <v>0</v>
      </c>
      <c r="G52" s="240">
        <v>1</v>
      </c>
      <c r="H52" s="237">
        <f t="shared" si="6"/>
        <v>1</v>
      </c>
    </row>
    <row r="53" spans="1:8" s="259" customFormat="1" ht="24.75" customHeight="1">
      <c r="A53" s="245">
        <v>4</v>
      </c>
      <c r="B53" s="250" t="s">
        <v>308</v>
      </c>
      <c r="C53" s="243">
        <f aca="true" t="shared" si="7" ref="C53:H53">C44+C42+C40</f>
        <v>132</v>
      </c>
      <c r="D53" s="243">
        <f t="shared" si="7"/>
        <v>68</v>
      </c>
      <c r="E53" s="243">
        <f t="shared" si="7"/>
        <v>200</v>
      </c>
      <c r="F53" s="243">
        <f t="shared" si="7"/>
        <v>530</v>
      </c>
      <c r="G53" s="243">
        <f t="shared" si="7"/>
        <v>480</v>
      </c>
      <c r="H53" s="243">
        <f t="shared" si="7"/>
        <v>1010</v>
      </c>
    </row>
    <row r="54" spans="1:8" s="259" customFormat="1" ht="26.25" customHeight="1">
      <c r="A54" s="247"/>
      <c r="B54" s="249" t="s">
        <v>296</v>
      </c>
      <c r="C54" s="240">
        <v>0</v>
      </c>
      <c r="D54" s="240">
        <v>0</v>
      </c>
      <c r="E54" s="237">
        <f>C54+D54</f>
        <v>0</v>
      </c>
      <c r="F54" s="240">
        <v>0</v>
      </c>
      <c r="G54" s="240">
        <v>0</v>
      </c>
      <c r="H54" s="237">
        <f>F54+G54</f>
        <v>0</v>
      </c>
    </row>
    <row r="55" spans="1:8" s="259" customFormat="1" ht="24.75" customHeight="1">
      <c r="A55" s="247"/>
      <c r="B55" s="249" t="s">
        <v>333</v>
      </c>
      <c r="C55" s="240">
        <v>0</v>
      </c>
      <c r="D55" s="240">
        <v>0</v>
      </c>
      <c r="E55" s="237">
        <f>C55+D55</f>
        <v>0</v>
      </c>
      <c r="F55" s="240">
        <v>0</v>
      </c>
      <c r="G55" s="240">
        <v>0</v>
      </c>
      <c r="H55" s="237">
        <f>F55+G55</f>
        <v>0</v>
      </c>
    </row>
    <row r="56" spans="1:8" s="259" customFormat="1" ht="24.75" customHeight="1">
      <c r="A56" s="247"/>
      <c r="B56" s="249" t="s">
        <v>332</v>
      </c>
      <c r="C56" s="240">
        <v>33</v>
      </c>
      <c r="D56" s="240">
        <v>26</v>
      </c>
      <c r="E56" s="237">
        <f>C56+D56</f>
        <v>59</v>
      </c>
      <c r="F56" s="240">
        <v>61</v>
      </c>
      <c r="G56" s="240">
        <v>52</v>
      </c>
      <c r="H56" s="237">
        <f>F56+G56</f>
        <v>113</v>
      </c>
    </row>
    <row r="57" spans="1:8" s="259" customFormat="1" ht="24.75" customHeight="1">
      <c r="A57" s="212"/>
      <c r="B57" s="249" t="s">
        <v>221</v>
      </c>
      <c r="C57" s="240">
        <f>243-168</f>
        <v>75</v>
      </c>
      <c r="D57" s="240">
        <f>203-167</f>
        <v>36</v>
      </c>
      <c r="E57" s="237">
        <f>C57+D57</f>
        <v>111</v>
      </c>
      <c r="F57" s="240">
        <v>243</v>
      </c>
      <c r="G57" s="240">
        <v>203</v>
      </c>
      <c r="H57" s="237">
        <f>F57+G57</f>
        <v>446</v>
      </c>
    </row>
    <row r="58" spans="1:8" ht="15.75">
      <c r="A58" s="386" t="s">
        <v>278</v>
      </c>
      <c r="B58" s="387"/>
      <c r="C58" s="387"/>
      <c r="D58" s="387"/>
      <c r="E58" s="387"/>
      <c r="F58" s="387"/>
      <c r="G58" s="387"/>
      <c r="H58" s="387"/>
    </row>
    <row r="59" spans="1:8" ht="24.75" customHeight="1">
      <c r="A59" s="235">
        <v>1</v>
      </c>
      <c r="B59" s="236" t="s">
        <v>323</v>
      </c>
      <c r="C59" s="237">
        <f>F59-292</f>
        <v>49</v>
      </c>
      <c r="D59" s="237">
        <f>149-106</f>
        <v>43</v>
      </c>
      <c r="E59" s="237">
        <f>C59+D59</f>
        <v>92</v>
      </c>
      <c r="F59" s="237">
        <v>341</v>
      </c>
      <c r="G59" s="237">
        <v>149</v>
      </c>
      <c r="H59" s="237">
        <f>F59+G59</f>
        <v>490</v>
      </c>
    </row>
    <row r="60" spans="1:8" ht="24.75" customHeight="1">
      <c r="A60" s="238"/>
      <c r="B60" s="239" t="s">
        <v>324</v>
      </c>
      <c r="C60" s="240">
        <f>149-131</f>
        <v>18</v>
      </c>
      <c r="D60" s="240">
        <f>31-29</f>
        <v>2</v>
      </c>
      <c r="E60" s="237">
        <f>C60+D60</f>
        <v>20</v>
      </c>
      <c r="F60" s="240">
        <v>149</v>
      </c>
      <c r="G60" s="240">
        <v>31</v>
      </c>
      <c r="H60" s="237">
        <f>F60+G60</f>
        <v>180</v>
      </c>
    </row>
    <row r="61" spans="1:8" ht="24.75" customHeight="1">
      <c r="A61" s="241">
        <v>2</v>
      </c>
      <c r="B61" s="242" t="s">
        <v>325</v>
      </c>
      <c r="C61" s="243">
        <f>166-141</f>
        <v>25</v>
      </c>
      <c r="D61" s="243">
        <f>58-52</f>
        <v>6</v>
      </c>
      <c r="E61" s="237">
        <f>C61+D61</f>
        <v>31</v>
      </c>
      <c r="F61" s="243">
        <v>166</v>
      </c>
      <c r="G61" s="243">
        <v>58</v>
      </c>
      <c r="H61" s="237">
        <f>F61+G61</f>
        <v>224</v>
      </c>
    </row>
    <row r="62" spans="1:8" ht="24.75" customHeight="1">
      <c r="A62" s="244"/>
      <c r="B62" s="239" t="s">
        <v>326</v>
      </c>
      <c r="C62" s="240">
        <f>34-32</f>
        <v>2</v>
      </c>
      <c r="D62" s="240">
        <f>19-19</f>
        <v>0</v>
      </c>
      <c r="E62" s="237">
        <f>C62+D62</f>
        <v>2</v>
      </c>
      <c r="F62" s="240">
        <v>34</v>
      </c>
      <c r="G62" s="240">
        <v>19</v>
      </c>
      <c r="H62" s="237">
        <f>F62+G62</f>
        <v>53</v>
      </c>
    </row>
    <row r="63" spans="1:8" ht="24.75" customHeight="1">
      <c r="A63" s="245">
        <v>3</v>
      </c>
      <c r="B63" s="246" t="s">
        <v>327</v>
      </c>
      <c r="C63" s="243">
        <f aca="true" t="shared" si="8" ref="C63:H63">SUM(C64:C71)</f>
        <v>0</v>
      </c>
      <c r="D63" s="243">
        <f t="shared" si="8"/>
        <v>0</v>
      </c>
      <c r="E63" s="243">
        <f t="shared" si="8"/>
        <v>0</v>
      </c>
      <c r="F63" s="243">
        <f t="shared" si="8"/>
        <v>78</v>
      </c>
      <c r="G63" s="243">
        <f t="shared" si="8"/>
        <v>55</v>
      </c>
      <c r="H63" s="243">
        <f t="shared" si="8"/>
        <v>133</v>
      </c>
    </row>
    <row r="64" spans="1:8" ht="30.75" customHeight="1">
      <c r="A64" s="247"/>
      <c r="B64" s="248" t="s">
        <v>375</v>
      </c>
      <c r="C64" s="240">
        <v>0</v>
      </c>
      <c r="D64" s="240">
        <v>0</v>
      </c>
      <c r="E64" s="237">
        <f aca="true" t="shared" si="9" ref="E64:E71">C64+D64</f>
        <v>0</v>
      </c>
      <c r="F64" s="240">
        <v>36</v>
      </c>
      <c r="G64" s="240">
        <v>16</v>
      </c>
      <c r="H64" s="237">
        <f aca="true" t="shared" si="10" ref="H64:H71">F64+G64</f>
        <v>52</v>
      </c>
    </row>
    <row r="65" spans="1:8" ht="30.75" customHeight="1">
      <c r="A65" s="247"/>
      <c r="B65" s="248" t="s">
        <v>328</v>
      </c>
      <c r="C65" s="240">
        <v>0</v>
      </c>
      <c r="D65" s="240">
        <v>0</v>
      </c>
      <c r="E65" s="237">
        <f t="shared" si="9"/>
        <v>0</v>
      </c>
      <c r="F65" s="240">
        <v>3</v>
      </c>
      <c r="G65" s="240">
        <v>5</v>
      </c>
      <c r="H65" s="237">
        <f t="shared" si="10"/>
        <v>8</v>
      </c>
    </row>
    <row r="66" spans="1:8" ht="31.5" customHeight="1">
      <c r="A66" s="247"/>
      <c r="B66" s="248" t="s">
        <v>329</v>
      </c>
      <c r="C66" s="240">
        <v>0</v>
      </c>
      <c r="D66" s="240">
        <v>0</v>
      </c>
      <c r="E66" s="237">
        <f t="shared" si="9"/>
        <v>0</v>
      </c>
      <c r="F66" s="240">
        <v>3</v>
      </c>
      <c r="G66" s="240">
        <v>8</v>
      </c>
      <c r="H66" s="237">
        <f t="shared" si="10"/>
        <v>11</v>
      </c>
    </row>
    <row r="67" spans="1:8" ht="30" customHeight="1">
      <c r="A67" s="247"/>
      <c r="B67" s="249" t="s">
        <v>225</v>
      </c>
      <c r="C67" s="240">
        <v>0</v>
      </c>
      <c r="D67" s="240">
        <v>0</v>
      </c>
      <c r="E67" s="237">
        <f t="shared" si="9"/>
        <v>0</v>
      </c>
      <c r="F67" s="240">
        <v>6</v>
      </c>
      <c r="G67" s="240">
        <v>8</v>
      </c>
      <c r="H67" s="237">
        <f t="shared" si="10"/>
        <v>14</v>
      </c>
    </row>
    <row r="68" spans="1:8" ht="30" customHeight="1">
      <c r="A68" s="247"/>
      <c r="B68" s="249" t="s">
        <v>226</v>
      </c>
      <c r="C68" s="240">
        <v>0</v>
      </c>
      <c r="D68" s="240">
        <v>0</v>
      </c>
      <c r="E68" s="237">
        <f t="shared" si="9"/>
        <v>0</v>
      </c>
      <c r="F68" s="240">
        <v>8</v>
      </c>
      <c r="G68" s="240">
        <v>3</v>
      </c>
      <c r="H68" s="237">
        <f t="shared" si="10"/>
        <v>11</v>
      </c>
    </row>
    <row r="69" spans="1:8" ht="30" customHeight="1">
      <c r="A69" s="247"/>
      <c r="B69" s="249" t="s">
        <v>330</v>
      </c>
      <c r="C69" s="240">
        <v>0</v>
      </c>
      <c r="D69" s="240">
        <v>0</v>
      </c>
      <c r="E69" s="237">
        <f t="shared" si="9"/>
        <v>0</v>
      </c>
      <c r="F69" s="240">
        <v>6</v>
      </c>
      <c r="G69" s="240">
        <v>8</v>
      </c>
      <c r="H69" s="237">
        <f t="shared" si="10"/>
        <v>14</v>
      </c>
    </row>
    <row r="70" spans="1:8" ht="30" customHeight="1">
      <c r="A70" s="247"/>
      <c r="B70" s="249" t="s">
        <v>210</v>
      </c>
      <c r="C70" s="240">
        <v>0</v>
      </c>
      <c r="D70" s="240">
        <v>0</v>
      </c>
      <c r="E70" s="237">
        <f t="shared" si="9"/>
        <v>0</v>
      </c>
      <c r="F70" s="240">
        <v>15</v>
      </c>
      <c r="G70" s="240">
        <v>7</v>
      </c>
      <c r="H70" s="237">
        <f t="shared" si="10"/>
        <v>22</v>
      </c>
    </row>
    <row r="71" spans="1:8" ht="25.5">
      <c r="A71" s="247"/>
      <c r="B71" s="249" t="s">
        <v>211</v>
      </c>
      <c r="C71" s="240">
        <v>0</v>
      </c>
      <c r="D71" s="240">
        <v>0</v>
      </c>
      <c r="E71" s="237">
        <f t="shared" si="9"/>
        <v>0</v>
      </c>
      <c r="F71" s="240">
        <v>1</v>
      </c>
      <c r="G71" s="240">
        <v>0</v>
      </c>
      <c r="H71" s="237">
        <f t="shared" si="10"/>
        <v>1</v>
      </c>
    </row>
    <row r="72" spans="1:8" s="259" customFormat="1" ht="24.75" customHeight="1">
      <c r="A72" s="245">
        <v>4</v>
      </c>
      <c r="B72" s="250" t="s">
        <v>308</v>
      </c>
      <c r="C72" s="243">
        <f aca="true" t="shared" si="11" ref="C72:H72">C63+C61+C59</f>
        <v>74</v>
      </c>
      <c r="D72" s="243">
        <f t="shared" si="11"/>
        <v>49</v>
      </c>
      <c r="E72" s="243">
        <f t="shared" si="11"/>
        <v>123</v>
      </c>
      <c r="F72" s="243">
        <f t="shared" si="11"/>
        <v>585</v>
      </c>
      <c r="G72" s="243">
        <f t="shared" si="11"/>
        <v>262</v>
      </c>
      <c r="H72" s="243">
        <f t="shared" si="11"/>
        <v>847</v>
      </c>
    </row>
    <row r="73" spans="1:8" s="259" customFormat="1" ht="26.25" customHeight="1">
      <c r="A73" s="247"/>
      <c r="B73" s="249" t="s">
        <v>296</v>
      </c>
      <c r="C73" s="240">
        <v>0</v>
      </c>
      <c r="D73" s="240">
        <v>0</v>
      </c>
      <c r="E73" s="237">
        <f>C73+D73</f>
        <v>0</v>
      </c>
      <c r="F73" s="240">
        <v>0</v>
      </c>
      <c r="G73" s="240">
        <v>0</v>
      </c>
      <c r="H73" s="237">
        <f>F73+G73</f>
        <v>0</v>
      </c>
    </row>
    <row r="74" spans="1:8" s="259" customFormat="1" ht="24.75" customHeight="1">
      <c r="A74" s="247"/>
      <c r="B74" s="249" t="s">
        <v>333</v>
      </c>
      <c r="C74" s="240">
        <v>0</v>
      </c>
      <c r="D74" s="240">
        <v>0</v>
      </c>
      <c r="E74" s="237">
        <f>C74+D74</f>
        <v>0</v>
      </c>
      <c r="F74" s="240">
        <v>0</v>
      </c>
      <c r="G74" s="240">
        <v>0</v>
      </c>
      <c r="H74" s="237">
        <f>F74+G74</f>
        <v>0</v>
      </c>
    </row>
    <row r="75" spans="1:8" s="259" customFormat="1" ht="24.75" customHeight="1">
      <c r="A75" s="247"/>
      <c r="B75" s="249" t="s">
        <v>332</v>
      </c>
      <c r="C75" s="240">
        <f>29-16</f>
        <v>13</v>
      </c>
      <c r="D75" s="240">
        <f>10-4</f>
        <v>6</v>
      </c>
      <c r="E75" s="237">
        <f>C75+D75</f>
        <v>19</v>
      </c>
      <c r="F75" s="240">
        <v>29</v>
      </c>
      <c r="G75" s="240">
        <v>10</v>
      </c>
      <c r="H75" s="237">
        <f>F75+G75</f>
        <v>39</v>
      </c>
    </row>
    <row r="76" spans="1:8" s="259" customFormat="1" ht="24.75" customHeight="1">
      <c r="A76" s="212"/>
      <c r="B76" s="249" t="s">
        <v>221</v>
      </c>
      <c r="C76" s="240">
        <f>514-452</f>
        <v>62</v>
      </c>
      <c r="D76" s="240">
        <f>201-167</f>
        <v>34</v>
      </c>
      <c r="E76" s="237">
        <f>C76+D76</f>
        <v>96</v>
      </c>
      <c r="F76" s="240">
        <v>514</v>
      </c>
      <c r="G76" s="240">
        <v>201</v>
      </c>
      <c r="H76" s="237">
        <f>F76+G76</f>
        <v>715</v>
      </c>
    </row>
    <row r="77" spans="1:8" ht="15.75">
      <c r="A77" s="386" t="s">
        <v>416</v>
      </c>
      <c r="B77" s="387"/>
      <c r="C77" s="387"/>
      <c r="D77" s="387"/>
      <c r="E77" s="387"/>
      <c r="F77" s="387"/>
      <c r="G77" s="387"/>
      <c r="H77" s="387"/>
    </row>
    <row r="78" spans="1:8" ht="24.75" customHeight="1">
      <c r="A78" s="235">
        <v>1</v>
      </c>
      <c r="B78" s="236" t="s">
        <v>323</v>
      </c>
      <c r="C78" s="237">
        <f aca="true" t="shared" si="12" ref="C78:H78">C21+C40+C59</f>
        <v>2032</v>
      </c>
      <c r="D78" s="237">
        <f t="shared" si="12"/>
        <v>1348</v>
      </c>
      <c r="E78" s="237">
        <f t="shared" si="12"/>
        <v>3380</v>
      </c>
      <c r="F78" s="237">
        <f t="shared" si="12"/>
        <v>14047</v>
      </c>
      <c r="G78" s="237">
        <f t="shared" si="12"/>
        <v>9917</v>
      </c>
      <c r="H78" s="237">
        <f t="shared" si="12"/>
        <v>23964</v>
      </c>
    </row>
    <row r="79" spans="1:8" ht="24.75" customHeight="1">
      <c r="A79" s="238"/>
      <c r="B79" s="239" t="s">
        <v>324</v>
      </c>
      <c r="C79" s="237">
        <f aca="true" t="shared" si="13" ref="C79:D95">C22+C41+C60</f>
        <v>807</v>
      </c>
      <c r="D79" s="237">
        <f t="shared" si="13"/>
        <v>457</v>
      </c>
      <c r="E79" s="237">
        <f>C79+D79</f>
        <v>1264</v>
      </c>
      <c r="F79" s="237">
        <f aca="true" t="shared" si="14" ref="F79:G95">F22+F41+F60</f>
        <v>4304</v>
      </c>
      <c r="G79" s="237">
        <f t="shared" si="14"/>
        <v>2334</v>
      </c>
      <c r="H79" s="237">
        <f>F79+G79</f>
        <v>6638</v>
      </c>
    </row>
    <row r="80" spans="1:8" ht="24.75" customHeight="1">
      <c r="A80" s="241">
        <v>2</v>
      </c>
      <c r="B80" s="242" t="s">
        <v>325</v>
      </c>
      <c r="C80" s="237">
        <f t="shared" si="13"/>
        <v>62</v>
      </c>
      <c r="D80" s="237">
        <f t="shared" si="13"/>
        <v>31</v>
      </c>
      <c r="E80" s="237">
        <f>C80+D80</f>
        <v>93</v>
      </c>
      <c r="F80" s="237">
        <f t="shared" si="14"/>
        <v>1195</v>
      </c>
      <c r="G80" s="237">
        <f t="shared" si="14"/>
        <v>703</v>
      </c>
      <c r="H80" s="237">
        <f>F80+G80</f>
        <v>1898</v>
      </c>
    </row>
    <row r="81" spans="1:8" ht="24.75" customHeight="1">
      <c r="A81" s="244"/>
      <c r="B81" s="239" t="s">
        <v>326</v>
      </c>
      <c r="C81" s="237">
        <f t="shared" si="13"/>
        <v>14</v>
      </c>
      <c r="D81" s="237">
        <f t="shared" si="13"/>
        <v>12</v>
      </c>
      <c r="E81" s="237">
        <f>C81+D81</f>
        <v>26</v>
      </c>
      <c r="F81" s="237">
        <f t="shared" si="14"/>
        <v>156</v>
      </c>
      <c r="G81" s="237">
        <f t="shared" si="14"/>
        <v>103</v>
      </c>
      <c r="H81" s="237">
        <f>F81+G81</f>
        <v>259</v>
      </c>
    </row>
    <row r="82" spans="1:8" ht="24.75" customHeight="1">
      <c r="A82" s="245">
        <v>3</v>
      </c>
      <c r="B82" s="246" t="s">
        <v>327</v>
      </c>
      <c r="C82" s="237">
        <f t="shared" si="13"/>
        <v>148</v>
      </c>
      <c r="D82" s="237">
        <f t="shared" si="13"/>
        <v>15</v>
      </c>
      <c r="E82" s="243">
        <f>SUM(E83:E90)</f>
        <v>163</v>
      </c>
      <c r="F82" s="237">
        <f t="shared" si="14"/>
        <v>783</v>
      </c>
      <c r="G82" s="237">
        <f t="shared" si="14"/>
        <v>211</v>
      </c>
      <c r="H82" s="243">
        <f>SUM(H83:H90)</f>
        <v>994</v>
      </c>
    </row>
    <row r="83" spans="1:8" ht="30.75" customHeight="1">
      <c r="A83" s="247"/>
      <c r="B83" s="248" t="s">
        <v>375</v>
      </c>
      <c r="C83" s="237">
        <f t="shared" si="13"/>
        <v>0</v>
      </c>
      <c r="D83" s="237">
        <f t="shared" si="13"/>
        <v>0</v>
      </c>
      <c r="E83" s="237">
        <f aca="true" t="shared" si="15" ref="E83:E90">C83+D83</f>
        <v>0</v>
      </c>
      <c r="F83" s="237">
        <f t="shared" si="14"/>
        <v>37</v>
      </c>
      <c r="G83" s="237">
        <f t="shared" si="14"/>
        <v>22</v>
      </c>
      <c r="H83" s="237">
        <f aca="true" t="shared" si="16" ref="H83:H90">F83+G83</f>
        <v>59</v>
      </c>
    </row>
    <row r="84" spans="1:8" ht="30.75" customHeight="1">
      <c r="A84" s="247"/>
      <c r="B84" s="248" t="s">
        <v>328</v>
      </c>
      <c r="C84" s="237">
        <f t="shared" si="13"/>
        <v>0</v>
      </c>
      <c r="D84" s="237">
        <f t="shared" si="13"/>
        <v>0</v>
      </c>
      <c r="E84" s="237">
        <f t="shared" si="15"/>
        <v>0</v>
      </c>
      <c r="F84" s="237">
        <f t="shared" si="14"/>
        <v>3</v>
      </c>
      <c r="G84" s="237">
        <f t="shared" si="14"/>
        <v>5</v>
      </c>
      <c r="H84" s="237">
        <f t="shared" si="16"/>
        <v>8</v>
      </c>
    </row>
    <row r="85" spans="1:8" ht="31.5" customHeight="1">
      <c r="A85" s="247"/>
      <c r="B85" s="248" t="s">
        <v>329</v>
      </c>
      <c r="C85" s="237">
        <f t="shared" si="13"/>
        <v>12</v>
      </c>
      <c r="D85" s="237">
        <f t="shared" si="13"/>
        <v>5</v>
      </c>
      <c r="E85" s="237">
        <f t="shared" si="15"/>
        <v>17</v>
      </c>
      <c r="F85" s="237">
        <f t="shared" si="14"/>
        <v>49</v>
      </c>
      <c r="G85" s="237">
        <f t="shared" si="14"/>
        <v>34</v>
      </c>
      <c r="H85" s="237">
        <f t="shared" si="16"/>
        <v>83</v>
      </c>
    </row>
    <row r="86" spans="1:8" ht="30" customHeight="1">
      <c r="A86" s="247"/>
      <c r="B86" s="249" t="s">
        <v>225</v>
      </c>
      <c r="C86" s="237">
        <f t="shared" si="13"/>
        <v>4</v>
      </c>
      <c r="D86" s="237">
        <f t="shared" si="13"/>
        <v>1</v>
      </c>
      <c r="E86" s="237">
        <f t="shared" si="15"/>
        <v>5</v>
      </c>
      <c r="F86" s="237">
        <f t="shared" si="14"/>
        <v>28</v>
      </c>
      <c r="G86" s="237">
        <f t="shared" si="14"/>
        <v>34</v>
      </c>
      <c r="H86" s="237">
        <f t="shared" si="16"/>
        <v>62</v>
      </c>
    </row>
    <row r="87" spans="1:8" ht="35.25" customHeight="1">
      <c r="A87" s="247"/>
      <c r="B87" s="249" t="s">
        <v>226</v>
      </c>
      <c r="C87" s="237">
        <f t="shared" si="13"/>
        <v>6</v>
      </c>
      <c r="D87" s="237">
        <f t="shared" si="13"/>
        <v>3</v>
      </c>
      <c r="E87" s="237">
        <f t="shared" si="15"/>
        <v>9</v>
      </c>
      <c r="F87" s="237">
        <f t="shared" si="14"/>
        <v>33</v>
      </c>
      <c r="G87" s="237">
        <f t="shared" si="14"/>
        <v>17</v>
      </c>
      <c r="H87" s="237">
        <f t="shared" si="16"/>
        <v>50</v>
      </c>
    </row>
    <row r="88" spans="1:8" ht="25.5">
      <c r="A88" s="247"/>
      <c r="B88" s="249" t="s">
        <v>330</v>
      </c>
      <c r="C88" s="237">
        <f t="shared" si="13"/>
        <v>8</v>
      </c>
      <c r="D88" s="237">
        <f t="shared" si="13"/>
        <v>0</v>
      </c>
      <c r="E88" s="237">
        <f t="shared" si="15"/>
        <v>8</v>
      </c>
      <c r="F88" s="237">
        <f t="shared" si="14"/>
        <v>37</v>
      </c>
      <c r="G88" s="237">
        <f t="shared" si="14"/>
        <v>28</v>
      </c>
      <c r="H88" s="237">
        <f t="shared" si="16"/>
        <v>65</v>
      </c>
    </row>
    <row r="89" spans="1:8" ht="32.25" customHeight="1">
      <c r="A89" s="247"/>
      <c r="B89" s="249" t="s">
        <v>210</v>
      </c>
      <c r="C89" s="237">
        <f t="shared" si="13"/>
        <v>118</v>
      </c>
      <c r="D89" s="237">
        <f t="shared" si="13"/>
        <v>6</v>
      </c>
      <c r="E89" s="237">
        <f t="shared" si="15"/>
        <v>124</v>
      </c>
      <c r="F89" s="237">
        <f t="shared" si="14"/>
        <v>583</v>
      </c>
      <c r="G89" s="237">
        <f t="shared" si="14"/>
        <v>65</v>
      </c>
      <c r="H89" s="237">
        <f t="shared" si="16"/>
        <v>648</v>
      </c>
    </row>
    <row r="90" spans="1:8" ht="25.5">
      <c r="A90" s="247"/>
      <c r="B90" s="249" t="s">
        <v>211</v>
      </c>
      <c r="C90" s="237">
        <f t="shared" si="13"/>
        <v>0</v>
      </c>
      <c r="D90" s="237">
        <f t="shared" si="13"/>
        <v>0</v>
      </c>
      <c r="E90" s="237">
        <f t="shared" si="15"/>
        <v>0</v>
      </c>
      <c r="F90" s="237">
        <f t="shared" si="14"/>
        <v>13</v>
      </c>
      <c r="G90" s="237">
        <f t="shared" si="14"/>
        <v>6</v>
      </c>
      <c r="H90" s="237">
        <f t="shared" si="16"/>
        <v>19</v>
      </c>
    </row>
    <row r="91" spans="1:8" s="259" customFormat="1" ht="24.75" customHeight="1">
      <c r="A91" s="245">
        <v>4</v>
      </c>
      <c r="B91" s="250" t="s">
        <v>308</v>
      </c>
      <c r="C91" s="237">
        <f t="shared" si="13"/>
        <v>2242</v>
      </c>
      <c r="D91" s="237">
        <f t="shared" si="13"/>
        <v>1394</v>
      </c>
      <c r="E91" s="243">
        <f>E82+E80+E78</f>
        <v>3636</v>
      </c>
      <c r="F91" s="237">
        <f t="shared" si="14"/>
        <v>16025</v>
      </c>
      <c r="G91" s="237">
        <f t="shared" si="14"/>
        <v>10831</v>
      </c>
      <c r="H91" s="243">
        <f>H82+H80+H78</f>
        <v>26856</v>
      </c>
    </row>
    <row r="92" spans="1:8" s="259" customFormat="1" ht="49.5" customHeight="1">
      <c r="A92" s="247"/>
      <c r="B92" s="249" t="s">
        <v>296</v>
      </c>
      <c r="C92" s="237">
        <f t="shared" si="13"/>
        <v>0</v>
      </c>
      <c r="D92" s="237">
        <f t="shared" si="13"/>
        <v>0</v>
      </c>
      <c r="E92" s="237">
        <f>C92+D92</f>
        <v>0</v>
      </c>
      <c r="F92" s="237">
        <f t="shared" si="14"/>
        <v>0</v>
      </c>
      <c r="G92" s="237">
        <f t="shared" si="14"/>
        <v>0</v>
      </c>
      <c r="H92" s="237">
        <f>F92+G92</f>
        <v>0</v>
      </c>
    </row>
    <row r="93" spans="1:8" s="259" customFormat="1" ht="24.75" customHeight="1">
      <c r="A93" s="247"/>
      <c r="B93" s="249" t="s">
        <v>333</v>
      </c>
      <c r="C93" s="237">
        <f t="shared" si="13"/>
        <v>0</v>
      </c>
      <c r="D93" s="237">
        <f t="shared" si="13"/>
        <v>0</v>
      </c>
      <c r="E93" s="237">
        <f>C93+D93</f>
        <v>0</v>
      </c>
      <c r="F93" s="237">
        <f t="shared" si="14"/>
        <v>0</v>
      </c>
      <c r="G93" s="237">
        <f t="shared" si="14"/>
        <v>0</v>
      </c>
      <c r="H93" s="237">
        <f>F93+G93</f>
        <v>0</v>
      </c>
    </row>
    <row r="94" spans="1:8" s="259" customFormat="1" ht="24.75" customHeight="1">
      <c r="A94" s="247"/>
      <c r="B94" s="249" t="s">
        <v>332</v>
      </c>
      <c r="C94" s="237">
        <f t="shared" si="13"/>
        <v>285</v>
      </c>
      <c r="D94" s="237">
        <f t="shared" si="13"/>
        <v>139</v>
      </c>
      <c r="E94" s="237">
        <f>C94+D94</f>
        <v>424</v>
      </c>
      <c r="F94" s="237">
        <f t="shared" si="14"/>
        <v>1318</v>
      </c>
      <c r="G94" s="237">
        <f t="shared" si="14"/>
        <v>761</v>
      </c>
      <c r="H94" s="237">
        <f>F94+G94</f>
        <v>2079</v>
      </c>
    </row>
    <row r="95" spans="1:8" s="259" customFormat="1" ht="24.75" customHeight="1">
      <c r="A95" s="212"/>
      <c r="B95" s="249" t="s">
        <v>221</v>
      </c>
      <c r="C95" s="237">
        <f t="shared" si="13"/>
        <v>553</v>
      </c>
      <c r="D95" s="237">
        <f t="shared" si="13"/>
        <v>526</v>
      </c>
      <c r="E95" s="237">
        <f>C95+D95</f>
        <v>1079</v>
      </c>
      <c r="F95" s="237">
        <f t="shared" si="14"/>
        <v>6007</v>
      </c>
      <c r="G95" s="237">
        <f t="shared" si="14"/>
        <v>4161</v>
      </c>
      <c r="H95" s="237">
        <f>F95+G95</f>
        <v>10168</v>
      </c>
    </row>
    <row r="96" spans="1:8" s="259" customFormat="1" ht="40.5" customHeight="1">
      <c r="A96" s="390" t="s">
        <v>417</v>
      </c>
      <c r="B96" s="391"/>
      <c r="C96" s="397" t="s">
        <v>418</v>
      </c>
      <c r="D96" s="397"/>
      <c r="E96" s="397"/>
      <c r="F96" s="397"/>
      <c r="G96" s="397"/>
      <c r="H96" s="397"/>
    </row>
    <row r="97" spans="1:8" s="259" customFormat="1" ht="192" customHeight="1">
      <c r="A97" s="388" t="s">
        <v>419</v>
      </c>
      <c r="B97" s="388"/>
      <c r="C97" s="389" t="s">
        <v>420</v>
      </c>
      <c r="D97" s="389"/>
      <c r="E97" s="389"/>
      <c r="F97" s="389"/>
      <c r="G97" s="389"/>
      <c r="H97" s="389"/>
    </row>
    <row r="98" spans="1:8" s="259" customFormat="1" ht="16.5" customHeight="1">
      <c r="A98" s="226"/>
      <c r="B98" s="226"/>
      <c r="C98" s="226"/>
      <c r="D98" s="226"/>
      <c r="E98" s="226"/>
      <c r="F98" s="226"/>
      <c r="G98" s="226"/>
      <c r="H98" s="226"/>
    </row>
    <row r="99" spans="1:2" ht="15.75">
      <c r="A99" s="378" t="s">
        <v>309</v>
      </c>
      <c r="B99" s="378"/>
    </row>
    <row r="100" spans="1:2" ht="15.75">
      <c r="A100" s="378" t="s">
        <v>310</v>
      </c>
      <c r="B100" s="378"/>
    </row>
  </sheetData>
  <sheetProtection selectLockedCells="1" selectUnlockedCells="1"/>
  <mergeCells count="27">
    <mergeCell ref="A7:B7"/>
    <mergeCell ref="C7:H7"/>
    <mergeCell ref="A10:H10"/>
    <mergeCell ref="A11:H11"/>
    <mergeCell ref="A9:H9"/>
    <mergeCell ref="A1:H1"/>
    <mergeCell ref="A3:B3"/>
    <mergeCell ref="C3:H3"/>
    <mergeCell ref="A5:B5"/>
    <mergeCell ref="C5:H5"/>
    <mergeCell ref="A100:B100"/>
    <mergeCell ref="A96:B96"/>
    <mergeCell ref="A17:A18"/>
    <mergeCell ref="B17:B18"/>
    <mergeCell ref="A13:E13"/>
    <mergeCell ref="A14:H14"/>
    <mergeCell ref="A15:H15"/>
    <mergeCell ref="C96:H96"/>
    <mergeCell ref="C17:E17"/>
    <mergeCell ref="F17:H17"/>
    <mergeCell ref="A20:H20"/>
    <mergeCell ref="A39:H39"/>
    <mergeCell ref="A58:H58"/>
    <mergeCell ref="A77:H77"/>
    <mergeCell ref="A99:B99"/>
    <mergeCell ref="A97:B97"/>
    <mergeCell ref="C97:H97"/>
  </mergeCells>
  <printOptions horizontalCentered="1"/>
  <pageMargins left="0.7875" right="0.7875" top="0.7875000000000001" bottom="0.7875" header="0.5118055555555556" footer="0.5118055555555556"/>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M37"/>
  <sheetViews>
    <sheetView view="pageBreakPreview" zoomScale="120" zoomScaleSheetLayoutView="120" zoomScalePageLayoutView="0" workbookViewId="0" topLeftCell="A13">
      <selection activeCell="D30" sqref="D30"/>
    </sheetView>
  </sheetViews>
  <sheetFormatPr defaultColWidth="9.140625" defaultRowHeight="12.75"/>
  <cols>
    <col min="1" max="1" width="3.7109375" style="3" customWidth="1"/>
    <col min="2" max="2" width="23.00390625" style="3" customWidth="1"/>
    <col min="3" max="8" width="11.8515625" style="3" customWidth="1"/>
    <col min="9" max="16384" width="9.140625" style="3" customWidth="1"/>
  </cols>
  <sheetData>
    <row r="1" spans="1:8" ht="27.75" customHeight="1">
      <c r="A1" s="408" t="s">
        <v>56</v>
      </c>
      <c r="B1" s="408"/>
      <c r="C1" s="408"/>
      <c r="D1" s="408"/>
      <c r="E1" s="408"/>
      <c r="F1" s="408"/>
      <c r="G1" s="408"/>
      <c r="H1" s="408"/>
    </row>
    <row r="2" spans="2:8" ht="12.75">
      <c r="B2" s="46"/>
      <c r="C2" s="46"/>
      <c r="D2" s="46"/>
      <c r="E2" s="47"/>
      <c r="F2" s="46"/>
      <c r="G2" s="46"/>
      <c r="H2" s="46"/>
    </row>
    <row r="3" spans="1:8" s="5" customFormat="1" ht="91.5" customHeight="1">
      <c r="A3" s="3"/>
      <c r="B3" s="31" t="s">
        <v>290</v>
      </c>
      <c r="C3" s="409" t="s">
        <v>407</v>
      </c>
      <c r="D3" s="410"/>
      <c r="E3" s="410"/>
      <c r="F3" s="410"/>
      <c r="G3" s="410"/>
      <c r="H3" s="411"/>
    </row>
    <row r="4" spans="2:8" s="5" customFormat="1" ht="14.25">
      <c r="B4" s="6"/>
      <c r="C4" s="48"/>
      <c r="D4" s="48"/>
      <c r="E4" s="49"/>
      <c r="F4" s="48"/>
      <c r="G4" s="48"/>
      <c r="H4" s="48"/>
    </row>
    <row r="5" spans="2:8" s="5" customFormat="1" ht="14.25">
      <c r="B5" s="31" t="s">
        <v>306</v>
      </c>
      <c r="C5" s="412" t="s">
        <v>408</v>
      </c>
      <c r="D5" s="410"/>
      <c r="E5" s="410"/>
      <c r="F5" s="410"/>
      <c r="G5" s="410"/>
      <c r="H5" s="411"/>
    </row>
    <row r="6" spans="2:8" s="5" customFormat="1" ht="14.25">
      <c r="B6" s="6"/>
      <c r="C6" s="48"/>
      <c r="D6" s="48"/>
      <c r="E6" s="24"/>
      <c r="F6" s="24"/>
      <c r="G6" s="24"/>
      <c r="H6" s="24"/>
    </row>
    <row r="7" spans="2:8" s="5" customFormat="1" ht="14.25">
      <c r="B7" s="31" t="s">
        <v>307</v>
      </c>
      <c r="C7" s="412" t="s">
        <v>409</v>
      </c>
      <c r="D7" s="410"/>
      <c r="E7" s="410"/>
      <c r="F7" s="410"/>
      <c r="G7" s="410"/>
      <c r="H7" s="411"/>
    </row>
    <row r="8" spans="2:8" s="5" customFormat="1" ht="12.75">
      <c r="B8" s="24"/>
      <c r="C8" s="24"/>
      <c r="D8" s="24"/>
      <c r="E8" s="24"/>
      <c r="F8" s="24"/>
      <c r="G8" s="24"/>
      <c r="H8" s="24"/>
    </row>
    <row r="9" spans="1:13" s="25" customFormat="1" ht="65.25" customHeight="1">
      <c r="A9" s="422" t="s">
        <v>44</v>
      </c>
      <c r="B9" s="422"/>
      <c r="C9" s="422"/>
      <c r="D9" s="422"/>
      <c r="E9" s="422"/>
      <c r="F9" s="422"/>
      <c r="G9" s="422"/>
      <c r="H9" s="422"/>
      <c r="I9" s="50"/>
      <c r="J9" s="50"/>
      <c r="K9" s="50"/>
      <c r="L9" s="50"/>
      <c r="M9" s="50"/>
    </row>
    <row r="10" spans="1:12" s="7" customFormat="1" ht="70.5" customHeight="1">
      <c r="A10" s="414" t="s">
        <v>62</v>
      </c>
      <c r="B10" s="414"/>
      <c r="C10" s="414"/>
      <c r="D10" s="414"/>
      <c r="E10" s="414"/>
      <c r="F10" s="414"/>
      <c r="G10" s="414"/>
      <c r="H10" s="414"/>
      <c r="I10" s="34"/>
      <c r="J10" s="34"/>
      <c r="K10" s="34"/>
      <c r="L10" s="34"/>
    </row>
    <row r="11" spans="1:12" s="7" customFormat="1" ht="66.75" customHeight="1">
      <c r="A11" s="415" t="s">
        <v>33</v>
      </c>
      <c r="B11" s="415"/>
      <c r="C11" s="415"/>
      <c r="D11" s="415"/>
      <c r="E11" s="415"/>
      <c r="F11" s="415"/>
      <c r="G11" s="415"/>
      <c r="H11" s="415"/>
      <c r="I11" s="34"/>
      <c r="J11" s="34"/>
      <c r="K11" s="34"/>
      <c r="L11" s="34"/>
    </row>
    <row r="12" spans="1:12" s="7" customFormat="1" ht="19.5" customHeight="1">
      <c r="A12" s="60"/>
      <c r="B12" s="60"/>
      <c r="C12" s="60"/>
      <c r="D12" s="60"/>
      <c r="E12" s="60"/>
      <c r="F12" s="60"/>
      <c r="G12" s="60"/>
      <c r="H12" s="60"/>
      <c r="I12" s="34"/>
      <c r="J12" s="34"/>
      <c r="K12" s="34"/>
      <c r="L12" s="34"/>
    </row>
    <row r="13" spans="1:12" s="7" customFormat="1" ht="15.75" customHeight="1">
      <c r="A13" s="416" t="s">
        <v>315</v>
      </c>
      <c r="B13" s="416"/>
      <c r="C13" s="416"/>
      <c r="D13" s="416"/>
      <c r="E13" s="416"/>
      <c r="F13" s="416"/>
      <c r="G13" s="416"/>
      <c r="H13" s="416"/>
      <c r="I13" s="33"/>
      <c r="J13" s="33"/>
      <c r="K13" s="33"/>
      <c r="L13" s="33"/>
    </row>
    <row r="14" spans="1:13" s="7" customFormat="1" ht="17.25" customHeight="1">
      <c r="A14" s="416" t="s">
        <v>316</v>
      </c>
      <c r="B14" s="416"/>
      <c r="C14" s="416"/>
      <c r="D14" s="416"/>
      <c r="E14" s="416"/>
      <c r="F14" s="416"/>
      <c r="G14" s="416"/>
      <c r="H14" s="416"/>
      <c r="I14" s="33"/>
      <c r="J14" s="33"/>
      <c r="K14" s="33"/>
      <c r="L14" s="33"/>
      <c r="M14" s="33"/>
    </row>
    <row r="15" spans="1:12" s="7" customFormat="1" ht="16.5" customHeight="1">
      <c r="A15" s="416" t="s">
        <v>317</v>
      </c>
      <c r="B15" s="416"/>
      <c r="C15" s="416"/>
      <c r="D15" s="416"/>
      <c r="E15" s="416"/>
      <c r="F15" s="416"/>
      <c r="G15" s="416"/>
      <c r="H15" s="416"/>
      <c r="I15" s="34"/>
      <c r="J15" s="34"/>
      <c r="K15" s="34"/>
      <c r="L15" s="34"/>
    </row>
    <row r="16" spans="2:12" s="7" customFormat="1" ht="12" customHeight="1" thickBot="1">
      <c r="B16" s="33"/>
      <c r="C16" s="34"/>
      <c r="D16" s="34"/>
      <c r="E16" s="34"/>
      <c r="F16" s="34"/>
      <c r="G16" s="34"/>
      <c r="H16" s="34"/>
      <c r="I16" s="34"/>
      <c r="J16" s="34"/>
      <c r="K16" s="34"/>
      <c r="L16" s="34"/>
    </row>
    <row r="17" spans="1:8" ht="22.5" customHeight="1">
      <c r="A17" s="419" t="s">
        <v>379</v>
      </c>
      <c r="B17" s="417" t="s">
        <v>374</v>
      </c>
      <c r="C17" s="417" t="s">
        <v>319</v>
      </c>
      <c r="D17" s="417"/>
      <c r="E17" s="417"/>
      <c r="F17" s="417" t="s">
        <v>320</v>
      </c>
      <c r="G17" s="417"/>
      <c r="H17" s="418"/>
    </row>
    <row r="18" spans="1:8" ht="14.25" customHeight="1">
      <c r="A18" s="420"/>
      <c r="B18" s="421"/>
      <c r="C18" s="27" t="s">
        <v>312</v>
      </c>
      <c r="D18" s="27" t="s">
        <v>313</v>
      </c>
      <c r="E18" s="27" t="s">
        <v>308</v>
      </c>
      <c r="F18" s="27" t="s">
        <v>312</v>
      </c>
      <c r="G18" s="27" t="s">
        <v>313</v>
      </c>
      <c r="H18" s="61" t="s">
        <v>308</v>
      </c>
    </row>
    <row r="19" spans="1:8" ht="12" customHeight="1" thickBot="1">
      <c r="A19" s="62">
        <v>1</v>
      </c>
      <c r="B19" s="63">
        <v>2</v>
      </c>
      <c r="C19" s="63">
        <v>3</v>
      </c>
      <c r="D19" s="63">
        <v>4</v>
      </c>
      <c r="E19" s="63">
        <v>5</v>
      </c>
      <c r="F19" s="63">
        <v>6</v>
      </c>
      <c r="G19" s="63">
        <v>7</v>
      </c>
      <c r="H19" s="64">
        <v>8</v>
      </c>
    </row>
    <row r="20" spans="1:8" ht="12" customHeight="1">
      <c r="A20" s="386" t="s">
        <v>266</v>
      </c>
      <c r="B20" s="387"/>
      <c r="C20" s="387"/>
      <c r="D20" s="387"/>
      <c r="E20" s="387"/>
      <c r="F20" s="387"/>
      <c r="G20" s="387"/>
      <c r="H20" s="387"/>
    </row>
    <row r="21" spans="1:8" ht="12.75">
      <c r="A21" s="65">
        <v>1</v>
      </c>
      <c r="B21" s="66" t="s">
        <v>222</v>
      </c>
      <c r="C21" s="266">
        <f>6670-5793</f>
        <v>877</v>
      </c>
      <c r="D21" s="266">
        <f>4219-3650</f>
        <v>569</v>
      </c>
      <c r="E21" s="260">
        <f>C21+D21</f>
        <v>1446</v>
      </c>
      <c r="F21" s="266">
        <f>503+43+6124</f>
        <v>6670</v>
      </c>
      <c r="G21" s="266">
        <f>521+2+3696</f>
        <v>4219</v>
      </c>
      <c r="H21" s="260">
        <f>F21+G21</f>
        <v>10889</v>
      </c>
    </row>
    <row r="22" spans="1:8" ht="12.75">
      <c r="A22" s="67">
        <v>2</v>
      </c>
      <c r="B22" s="68" t="s">
        <v>34</v>
      </c>
      <c r="C22" s="267">
        <f>F22-448</f>
        <v>49</v>
      </c>
      <c r="D22" s="267">
        <f>G22-503</f>
        <v>93</v>
      </c>
      <c r="E22" s="260">
        <f>C22+D22</f>
        <v>142</v>
      </c>
      <c r="F22" s="267">
        <f>288+18+191</f>
        <v>497</v>
      </c>
      <c r="G22" s="267">
        <f>219+2+375</f>
        <v>596</v>
      </c>
      <c r="H22" s="260">
        <f>F22+G22</f>
        <v>1093</v>
      </c>
    </row>
    <row r="23" spans="1:8" ht="25.5">
      <c r="A23" s="56"/>
      <c r="B23" s="69" t="s">
        <v>35</v>
      </c>
      <c r="C23" s="267">
        <f>20-13</f>
        <v>7</v>
      </c>
      <c r="D23" s="267">
        <f>6-6</f>
        <v>0</v>
      </c>
      <c r="E23" s="260">
        <f>C23+D23</f>
        <v>7</v>
      </c>
      <c r="F23" s="267">
        <v>20</v>
      </c>
      <c r="G23" s="267">
        <v>6</v>
      </c>
      <c r="H23" s="260">
        <f>F23+G23</f>
        <v>26</v>
      </c>
    </row>
    <row r="24" spans="1:8" ht="12.75">
      <c r="A24" s="386" t="s">
        <v>276</v>
      </c>
      <c r="B24" s="387"/>
      <c r="C24" s="387"/>
      <c r="D24" s="387"/>
      <c r="E24" s="387"/>
      <c r="F24" s="387"/>
      <c r="G24" s="387"/>
      <c r="H24" s="387"/>
    </row>
    <row r="25" spans="1:8" ht="12.75">
      <c r="A25" s="65">
        <v>1</v>
      </c>
      <c r="B25" s="66" t="s">
        <v>222</v>
      </c>
      <c r="C25" s="266">
        <f>F25-65</f>
        <v>26</v>
      </c>
      <c r="D25" s="266">
        <f>114-95</f>
        <v>19</v>
      </c>
      <c r="E25" s="260">
        <f>D25+C25</f>
        <v>45</v>
      </c>
      <c r="F25" s="266">
        <v>91</v>
      </c>
      <c r="G25" s="266">
        <v>114</v>
      </c>
      <c r="H25" s="260">
        <f>F25+G25</f>
        <v>205</v>
      </c>
    </row>
    <row r="26" spans="1:8" ht="12.75">
      <c r="A26" s="67">
        <v>2</v>
      </c>
      <c r="B26" s="68" t="s">
        <v>34</v>
      </c>
      <c r="C26" s="267">
        <f>14-10</f>
        <v>4</v>
      </c>
      <c r="D26" s="267">
        <f>31-24</f>
        <v>7</v>
      </c>
      <c r="E26" s="260">
        <f>D26+C26</f>
        <v>11</v>
      </c>
      <c r="F26" s="267">
        <v>14</v>
      </c>
      <c r="G26" s="267">
        <v>31</v>
      </c>
      <c r="H26" s="260">
        <f>F26+G26</f>
        <v>45</v>
      </c>
    </row>
    <row r="27" spans="1:8" ht="25.5">
      <c r="A27" s="56"/>
      <c r="B27" s="69" t="s">
        <v>35</v>
      </c>
      <c r="C27" s="267">
        <f>3-2</f>
        <v>1</v>
      </c>
      <c r="D27" s="267">
        <f>5-4</f>
        <v>1</v>
      </c>
      <c r="E27" s="260">
        <f>D27+C27</f>
        <v>2</v>
      </c>
      <c r="F27" s="267">
        <v>3</v>
      </c>
      <c r="G27" s="267">
        <v>5</v>
      </c>
      <c r="H27" s="260">
        <f>F27+G27</f>
        <v>8</v>
      </c>
    </row>
    <row r="28" spans="1:8" ht="12.75">
      <c r="A28" s="386" t="s">
        <v>278</v>
      </c>
      <c r="B28" s="387"/>
      <c r="C28" s="387"/>
      <c r="D28" s="387"/>
      <c r="E28" s="387"/>
      <c r="F28" s="387"/>
      <c r="G28" s="387"/>
      <c r="H28" s="387"/>
    </row>
    <row r="29" spans="1:8" ht="12.75">
      <c r="A29" s="65">
        <v>1</v>
      </c>
      <c r="B29" s="66" t="s">
        <v>222</v>
      </c>
      <c r="C29" s="266">
        <f>149-101</f>
        <v>48</v>
      </c>
      <c r="D29" s="266">
        <v>43</v>
      </c>
      <c r="E29" s="260">
        <f>C29+D29</f>
        <v>91</v>
      </c>
      <c r="F29" s="266">
        <v>149</v>
      </c>
      <c r="G29" s="266">
        <v>115</v>
      </c>
      <c r="H29" s="260">
        <f>F29+G29</f>
        <v>264</v>
      </c>
    </row>
    <row r="30" spans="1:8" ht="12.75">
      <c r="A30" s="67">
        <v>2</v>
      </c>
      <c r="B30" s="68" t="s">
        <v>34</v>
      </c>
      <c r="C30" s="267">
        <f>61-47</f>
        <v>14</v>
      </c>
      <c r="D30" s="267">
        <f>21-21</f>
        <v>0</v>
      </c>
      <c r="E30" s="260">
        <f>C30+D30</f>
        <v>14</v>
      </c>
      <c r="F30" s="267">
        <v>61</v>
      </c>
      <c r="G30" s="267">
        <v>21</v>
      </c>
      <c r="H30" s="260">
        <f>F30+G30</f>
        <v>82</v>
      </c>
    </row>
    <row r="31" spans="1:8" ht="25.5">
      <c r="A31" s="56"/>
      <c r="B31" s="69" t="s">
        <v>35</v>
      </c>
      <c r="C31" s="267">
        <f>21-21</f>
        <v>0</v>
      </c>
      <c r="D31" s="267">
        <v>0</v>
      </c>
      <c r="E31" s="260">
        <f>C31+D31</f>
        <v>0</v>
      </c>
      <c r="F31" s="267">
        <v>21</v>
      </c>
      <c r="G31" s="267">
        <v>5</v>
      </c>
      <c r="H31" s="260">
        <f>F31+G31</f>
        <v>26</v>
      </c>
    </row>
    <row r="32" spans="1:8" ht="12.75" customHeight="1">
      <c r="A32" s="386" t="s">
        <v>416</v>
      </c>
      <c r="B32" s="387"/>
      <c r="C32" s="387"/>
      <c r="D32" s="387"/>
      <c r="E32" s="387"/>
      <c r="F32" s="387"/>
      <c r="G32" s="387"/>
      <c r="H32" s="387"/>
    </row>
    <row r="33" spans="1:8" ht="12.75">
      <c r="A33" s="65">
        <v>1</v>
      </c>
      <c r="B33" s="66" t="s">
        <v>222</v>
      </c>
      <c r="C33" s="260">
        <f aca="true" t="shared" si="0" ref="C33:H33">C21+C25+C29</f>
        <v>951</v>
      </c>
      <c r="D33" s="260">
        <f t="shared" si="0"/>
        <v>631</v>
      </c>
      <c r="E33" s="260">
        <f t="shared" si="0"/>
        <v>1582</v>
      </c>
      <c r="F33" s="260">
        <f t="shared" si="0"/>
        <v>6910</v>
      </c>
      <c r="G33" s="260">
        <f t="shared" si="0"/>
        <v>4448</v>
      </c>
      <c r="H33" s="260">
        <f t="shared" si="0"/>
        <v>11358</v>
      </c>
    </row>
    <row r="34" spans="1:8" ht="12.75">
      <c r="A34" s="67">
        <v>2</v>
      </c>
      <c r="B34" s="68" t="s">
        <v>34</v>
      </c>
      <c r="C34" s="260">
        <f aca="true" t="shared" si="1" ref="C34:H35">C22+C26+C30</f>
        <v>67</v>
      </c>
      <c r="D34" s="260">
        <f t="shared" si="1"/>
        <v>100</v>
      </c>
      <c r="E34" s="260">
        <f t="shared" si="1"/>
        <v>167</v>
      </c>
      <c r="F34" s="260">
        <f t="shared" si="1"/>
        <v>572</v>
      </c>
      <c r="G34" s="260">
        <f t="shared" si="1"/>
        <v>648</v>
      </c>
      <c r="H34" s="260">
        <f t="shared" si="1"/>
        <v>1220</v>
      </c>
    </row>
    <row r="35" spans="1:8" ht="25.5">
      <c r="A35" s="56"/>
      <c r="B35" s="69" t="s">
        <v>35</v>
      </c>
      <c r="C35" s="260">
        <f t="shared" si="1"/>
        <v>8</v>
      </c>
      <c r="D35" s="260">
        <f t="shared" si="1"/>
        <v>1</v>
      </c>
      <c r="E35" s="260">
        <f t="shared" si="1"/>
        <v>9</v>
      </c>
      <c r="F35" s="260">
        <f t="shared" si="1"/>
        <v>44</v>
      </c>
      <c r="G35" s="260">
        <f t="shared" si="1"/>
        <v>16</v>
      </c>
      <c r="H35" s="260">
        <f t="shared" si="1"/>
        <v>60</v>
      </c>
    </row>
    <row r="36" spans="1:2" ht="14.25" customHeight="1">
      <c r="A36" s="413" t="s">
        <v>309</v>
      </c>
      <c r="B36" s="413"/>
    </row>
    <row r="37" spans="1:4" ht="15.75" customHeight="1">
      <c r="A37" s="413" t="s">
        <v>310</v>
      </c>
      <c r="B37" s="413"/>
      <c r="C37" s="413"/>
      <c r="D37" s="413"/>
    </row>
  </sheetData>
  <sheetProtection selectLockedCells="1" selectUnlockedCells="1"/>
  <mergeCells count="20">
    <mergeCell ref="A37:D37"/>
    <mergeCell ref="C7:H7"/>
    <mergeCell ref="C17:E17"/>
    <mergeCell ref="F17:H17"/>
    <mergeCell ref="A17:A18"/>
    <mergeCell ref="B17:B18"/>
    <mergeCell ref="A15:H15"/>
    <mergeCell ref="A9:H9"/>
    <mergeCell ref="A20:H20"/>
    <mergeCell ref="A32:H32"/>
    <mergeCell ref="A28:H28"/>
    <mergeCell ref="A24:H24"/>
    <mergeCell ref="A1:H1"/>
    <mergeCell ref="C3:H3"/>
    <mergeCell ref="C5:H5"/>
    <mergeCell ref="A36:B36"/>
    <mergeCell ref="A10:H10"/>
    <mergeCell ref="A11:H11"/>
    <mergeCell ref="A13:H13"/>
    <mergeCell ref="A14:H14"/>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I49"/>
  <sheetViews>
    <sheetView view="pageBreakPreview" zoomScale="120" zoomScaleSheetLayoutView="120" zoomScalePageLayoutView="0" workbookViewId="0" topLeftCell="A32">
      <selection activeCell="E56" sqref="E56"/>
    </sheetView>
  </sheetViews>
  <sheetFormatPr defaultColWidth="9.140625" defaultRowHeight="12.75"/>
  <cols>
    <col min="1" max="1" width="3.7109375" style="3" customWidth="1"/>
    <col min="2" max="2" width="23.00390625" style="3" customWidth="1"/>
    <col min="3" max="8" width="11.28125" style="3" customWidth="1"/>
    <col min="9" max="16384" width="9.140625" style="3" customWidth="1"/>
  </cols>
  <sheetData>
    <row r="1" spans="1:8" ht="27.75" customHeight="1">
      <c r="A1" s="408" t="s">
        <v>63</v>
      </c>
      <c r="B1" s="408"/>
      <c r="C1" s="408"/>
      <c r="D1" s="408"/>
      <c r="E1" s="408"/>
      <c r="F1" s="408"/>
      <c r="G1" s="408"/>
      <c r="H1" s="408"/>
    </row>
    <row r="2" spans="2:8" ht="12.75">
      <c r="B2" s="46"/>
      <c r="C2" s="46"/>
      <c r="D2" s="46"/>
      <c r="E2" s="47"/>
      <c r="F2" s="46"/>
      <c r="G2" s="46"/>
      <c r="H2" s="46"/>
    </row>
    <row r="3" spans="1:8" s="5" customFormat="1" ht="79.5" customHeight="1">
      <c r="A3" s="3"/>
      <c r="B3" s="31" t="s">
        <v>290</v>
      </c>
      <c r="C3" s="409" t="s">
        <v>407</v>
      </c>
      <c r="D3" s="410"/>
      <c r="E3" s="410"/>
      <c r="F3" s="410"/>
      <c r="G3" s="410"/>
      <c r="H3" s="411"/>
    </row>
    <row r="4" spans="2:8" s="5" customFormat="1" ht="14.25">
      <c r="B4" s="6"/>
      <c r="C4" s="48"/>
      <c r="D4" s="48"/>
      <c r="E4" s="49"/>
      <c r="F4" s="48"/>
      <c r="G4" s="48"/>
      <c r="H4" s="48"/>
    </row>
    <row r="5" spans="2:8" s="5" customFormat="1" ht="14.25">
      <c r="B5" s="31" t="s">
        <v>306</v>
      </c>
      <c r="C5" s="412" t="s">
        <v>408</v>
      </c>
      <c r="D5" s="410"/>
      <c r="E5" s="410"/>
      <c r="F5" s="410"/>
      <c r="G5" s="410"/>
      <c r="H5" s="411"/>
    </row>
    <row r="6" spans="2:8" s="5" customFormat="1" ht="14.25">
      <c r="B6" s="6"/>
      <c r="C6" s="48"/>
      <c r="D6" s="48"/>
      <c r="E6" s="24"/>
      <c r="F6" s="24"/>
      <c r="G6" s="24"/>
      <c r="H6" s="24"/>
    </row>
    <row r="7" spans="2:8" s="5" customFormat="1" ht="14.25">
      <c r="B7" s="31" t="s">
        <v>307</v>
      </c>
      <c r="C7" s="412" t="s">
        <v>409</v>
      </c>
      <c r="D7" s="410"/>
      <c r="E7" s="410"/>
      <c r="F7" s="410"/>
      <c r="G7" s="410"/>
      <c r="H7" s="411"/>
    </row>
    <row r="8" spans="2:8" s="5" customFormat="1" ht="12.75">
      <c r="B8" s="24"/>
      <c r="C8" s="24"/>
      <c r="D8" s="24"/>
      <c r="E8" s="24"/>
      <c r="F8" s="24"/>
      <c r="G8" s="24"/>
      <c r="H8" s="24"/>
    </row>
    <row r="9" spans="1:9" s="25" customFormat="1" ht="65.25" customHeight="1">
      <c r="A9" s="422" t="s">
        <v>44</v>
      </c>
      <c r="B9" s="422"/>
      <c r="C9" s="422"/>
      <c r="D9" s="422"/>
      <c r="E9" s="422"/>
      <c r="F9" s="422"/>
      <c r="G9" s="422"/>
      <c r="H9" s="422"/>
      <c r="I9" s="50"/>
    </row>
    <row r="10" spans="1:8" s="25" customFormat="1" ht="53.25" customHeight="1">
      <c r="A10" s="414" t="s">
        <v>64</v>
      </c>
      <c r="B10" s="427"/>
      <c r="C10" s="427"/>
      <c r="D10" s="427"/>
      <c r="E10" s="427"/>
      <c r="F10" s="427"/>
      <c r="G10" s="427"/>
      <c r="H10" s="427"/>
    </row>
    <row r="11" spans="1:8" s="25" customFormat="1" ht="93" customHeight="1">
      <c r="A11" s="414" t="s">
        <v>48</v>
      </c>
      <c r="B11" s="414"/>
      <c r="C11" s="414"/>
      <c r="D11" s="414"/>
      <c r="E11" s="414"/>
      <c r="F11" s="414"/>
      <c r="G11" s="414"/>
      <c r="H11" s="414"/>
    </row>
    <row r="12" spans="1:8" s="25" customFormat="1" ht="50.25" customHeight="1">
      <c r="A12" s="414" t="s">
        <v>304</v>
      </c>
      <c r="B12" s="414"/>
      <c r="C12" s="414"/>
      <c r="D12" s="414"/>
      <c r="E12" s="414"/>
      <c r="F12" s="414"/>
      <c r="G12" s="414"/>
      <c r="H12" s="414"/>
    </row>
    <row r="13" spans="1:8" s="25" customFormat="1" ht="19.5" customHeight="1">
      <c r="A13" s="51"/>
      <c r="B13" s="51"/>
      <c r="C13" s="51"/>
      <c r="D13" s="51"/>
      <c r="E13" s="51"/>
      <c r="F13" s="51"/>
      <c r="G13" s="51"/>
      <c r="H13" s="51"/>
    </row>
    <row r="14" spans="1:8" s="7" customFormat="1" ht="15.75" customHeight="1">
      <c r="A14" s="416" t="s">
        <v>315</v>
      </c>
      <c r="B14" s="416"/>
      <c r="C14" s="416"/>
      <c r="D14" s="416"/>
      <c r="E14" s="416"/>
      <c r="F14" s="416"/>
      <c r="G14" s="416"/>
      <c r="H14" s="416"/>
    </row>
    <row r="15" spans="1:9" s="7" customFormat="1" ht="17.25" customHeight="1">
      <c r="A15" s="416" t="s">
        <v>316</v>
      </c>
      <c r="B15" s="416"/>
      <c r="C15" s="416"/>
      <c r="D15" s="416"/>
      <c r="E15" s="416"/>
      <c r="F15" s="416"/>
      <c r="G15" s="416"/>
      <c r="H15" s="416"/>
      <c r="I15" s="33"/>
    </row>
    <row r="16" spans="1:8" s="7" customFormat="1" ht="16.5" customHeight="1">
      <c r="A16" s="416" t="s">
        <v>317</v>
      </c>
      <c r="B16" s="416"/>
      <c r="C16" s="416"/>
      <c r="D16" s="416"/>
      <c r="E16" s="416"/>
      <c r="F16" s="416"/>
      <c r="G16" s="416"/>
      <c r="H16" s="416"/>
    </row>
    <row r="17" spans="2:8" s="7" customFormat="1" ht="12" customHeight="1" thickBot="1">
      <c r="B17" s="33"/>
      <c r="C17" s="34"/>
      <c r="D17" s="34"/>
      <c r="E17" s="34"/>
      <c r="F17" s="34"/>
      <c r="G17" s="34"/>
      <c r="H17" s="34"/>
    </row>
    <row r="18" spans="1:8" ht="19.5" customHeight="1">
      <c r="A18" s="423" t="s">
        <v>379</v>
      </c>
      <c r="B18" s="425" t="s">
        <v>214</v>
      </c>
      <c r="C18" s="425" t="s">
        <v>319</v>
      </c>
      <c r="D18" s="425"/>
      <c r="E18" s="425"/>
      <c r="F18" s="425" t="s">
        <v>320</v>
      </c>
      <c r="G18" s="425"/>
      <c r="H18" s="429"/>
    </row>
    <row r="19" spans="1:8" ht="18.75" customHeight="1">
      <c r="A19" s="424"/>
      <c r="B19" s="426"/>
      <c r="C19" s="14" t="s">
        <v>312</v>
      </c>
      <c r="D19" s="14" t="s">
        <v>313</v>
      </c>
      <c r="E19" s="14" t="s">
        <v>308</v>
      </c>
      <c r="F19" s="14" t="s">
        <v>312</v>
      </c>
      <c r="G19" s="14" t="s">
        <v>313</v>
      </c>
      <c r="H19" s="52" t="s">
        <v>308</v>
      </c>
    </row>
    <row r="20" spans="1:8" ht="13.5" customHeight="1" thickBot="1">
      <c r="A20" s="53">
        <v>1</v>
      </c>
      <c r="B20" s="54">
        <v>2</v>
      </c>
      <c r="C20" s="54">
        <v>3</v>
      </c>
      <c r="D20" s="54">
        <v>4</v>
      </c>
      <c r="E20" s="54">
        <v>5</v>
      </c>
      <c r="F20" s="54">
        <v>6</v>
      </c>
      <c r="G20" s="54">
        <v>7</v>
      </c>
      <c r="H20" s="55">
        <v>8</v>
      </c>
    </row>
    <row r="21" spans="1:8" ht="13.5" customHeight="1">
      <c r="A21" s="386" t="s">
        <v>266</v>
      </c>
      <c r="B21" s="387"/>
      <c r="C21" s="387"/>
      <c r="D21" s="387"/>
      <c r="E21" s="387"/>
      <c r="F21" s="387"/>
      <c r="G21" s="387"/>
      <c r="H21" s="387"/>
    </row>
    <row r="22" spans="1:8" ht="27" customHeight="1">
      <c r="A22" s="56">
        <v>1</v>
      </c>
      <c r="B22" s="57" t="s">
        <v>378</v>
      </c>
      <c r="C22" s="263">
        <f>1405-1251</f>
        <v>154</v>
      </c>
      <c r="D22" s="263">
        <f>1915-1681</f>
        <v>234</v>
      </c>
      <c r="E22" s="263">
        <f>C22+D22</f>
        <v>388</v>
      </c>
      <c r="F22" s="263">
        <f>341+1064</f>
        <v>1405</v>
      </c>
      <c r="G22" s="263">
        <f>350+1565</f>
        <v>1915</v>
      </c>
      <c r="H22" s="263">
        <f>F22+G22</f>
        <v>3320</v>
      </c>
    </row>
    <row r="23" spans="1:8" ht="21" customHeight="1">
      <c r="A23" s="58">
        <v>2</v>
      </c>
      <c r="B23" s="59" t="s">
        <v>195</v>
      </c>
      <c r="C23" s="264">
        <f>8431-7346</f>
        <v>1085</v>
      </c>
      <c r="D23" s="264">
        <f>6359-5556</f>
        <v>803</v>
      </c>
      <c r="E23" s="263">
        <f>C23+D23</f>
        <v>1888</v>
      </c>
      <c r="F23" s="264">
        <f>1337+59+7035</f>
        <v>8431</v>
      </c>
      <c r="G23" s="264">
        <f>918+2+5439</f>
        <v>6359</v>
      </c>
      <c r="H23" s="263">
        <f>F23+G23</f>
        <v>14790</v>
      </c>
    </row>
    <row r="24" spans="1:8" ht="21" customHeight="1">
      <c r="A24" s="58">
        <v>3</v>
      </c>
      <c r="B24" s="59" t="s">
        <v>376</v>
      </c>
      <c r="C24" s="264">
        <f>1290-1095</f>
        <v>195</v>
      </c>
      <c r="D24" s="264">
        <f>493-462</f>
        <v>31</v>
      </c>
      <c r="E24" s="263">
        <f>C24+D24</f>
        <v>226</v>
      </c>
      <c r="F24" s="264">
        <f>423+40+827</f>
        <v>1290</v>
      </c>
      <c r="G24" s="264">
        <f>246+1+246</f>
        <v>493</v>
      </c>
      <c r="H24" s="263">
        <f>F24+G24</f>
        <v>1783</v>
      </c>
    </row>
    <row r="25" spans="1:8" ht="21" customHeight="1">
      <c r="A25" s="58">
        <v>4</v>
      </c>
      <c r="B25" s="59" t="s">
        <v>377</v>
      </c>
      <c r="C25" s="264">
        <f>3784-3182</f>
        <v>602</v>
      </c>
      <c r="D25" s="264">
        <f>1322-1113</f>
        <v>209</v>
      </c>
      <c r="E25" s="263">
        <f>C25+D25</f>
        <v>811</v>
      </c>
      <c r="F25" s="264">
        <f>624+367+2793</f>
        <v>3784</v>
      </c>
      <c r="G25" s="264">
        <f>242+24+1056</f>
        <v>1322</v>
      </c>
      <c r="H25" s="263">
        <f>F25+G25</f>
        <v>5106</v>
      </c>
    </row>
    <row r="26" spans="1:8" ht="21" customHeight="1">
      <c r="A26" s="58">
        <v>5</v>
      </c>
      <c r="B26" s="87" t="s">
        <v>308</v>
      </c>
      <c r="C26" s="261">
        <f>SUM(C22:C25)</f>
        <v>2036</v>
      </c>
      <c r="D26" s="261">
        <f>SUM(D22:D25)</f>
        <v>1277</v>
      </c>
      <c r="E26" s="262">
        <f>C26+D26</f>
        <v>3313</v>
      </c>
      <c r="F26" s="261">
        <f>SUM(F22:F25)</f>
        <v>14910</v>
      </c>
      <c r="G26" s="261">
        <f>SUM(G22:G25)</f>
        <v>10089</v>
      </c>
      <c r="H26" s="262">
        <f>F26+G26</f>
        <v>24999</v>
      </c>
    </row>
    <row r="27" spans="1:8" ht="21" customHeight="1">
      <c r="A27" s="386" t="s">
        <v>276</v>
      </c>
      <c r="B27" s="387"/>
      <c r="C27" s="387"/>
      <c r="D27" s="387"/>
      <c r="E27" s="387"/>
      <c r="F27" s="387"/>
      <c r="G27" s="387"/>
      <c r="H27" s="387"/>
    </row>
    <row r="28" spans="1:8" ht="30.75" customHeight="1">
      <c r="A28" s="56">
        <v>1</v>
      </c>
      <c r="B28" s="57" t="s">
        <v>378</v>
      </c>
      <c r="C28" s="263">
        <v>1</v>
      </c>
      <c r="D28" s="263">
        <f>22-18</f>
        <v>4</v>
      </c>
      <c r="E28" s="263">
        <f>C28+D28</f>
        <v>5</v>
      </c>
      <c r="F28" s="263">
        <v>7</v>
      </c>
      <c r="G28" s="263">
        <v>22</v>
      </c>
      <c r="H28" s="263">
        <f>F28+G28</f>
        <v>29</v>
      </c>
    </row>
    <row r="29" spans="1:8" ht="21" customHeight="1">
      <c r="A29" s="58">
        <v>2</v>
      </c>
      <c r="B29" s="59" t="s">
        <v>195</v>
      </c>
      <c r="C29" s="264">
        <f>132-114</f>
        <v>18</v>
      </c>
      <c r="D29" s="264">
        <f>186-178</f>
        <v>8</v>
      </c>
      <c r="E29" s="263">
        <f>C29+D29</f>
        <v>26</v>
      </c>
      <c r="F29" s="264">
        <v>132</v>
      </c>
      <c r="G29" s="264">
        <v>186</v>
      </c>
      <c r="H29" s="263">
        <f>F29+G29</f>
        <v>318</v>
      </c>
    </row>
    <row r="30" spans="1:8" ht="21" customHeight="1">
      <c r="A30" s="58">
        <v>3</v>
      </c>
      <c r="B30" s="59" t="s">
        <v>376</v>
      </c>
      <c r="C30" s="264">
        <f>85-60</f>
        <v>25</v>
      </c>
      <c r="D30" s="264">
        <f>70-52</f>
        <v>18</v>
      </c>
      <c r="E30" s="263">
        <f>C30+D30</f>
        <v>43</v>
      </c>
      <c r="F30" s="264">
        <v>85</v>
      </c>
      <c r="G30" s="264">
        <v>70</v>
      </c>
      <c r="H30" s="263">
        <f>F30+G30</f>
        <v>155</v>
      </c>
    </row>
    <row r="31" spans="1:8" ht="21" customHeight="1">
      <c r="A31" s="58">
        <v>4</v>
      </c>
      <c r="B31" s="59" t="s">
        <v>377</v>
      </c>
      <c r="C31" s="264">
        <f>306-218</f>
        <v>88</v>
      </c>
      <c r="D31" s="264">
        <f>202-164</f>
        <v>38</v>
      </c>
      <c r="E31" s="263">
        <f>C31+D31</f>
        <v>126</v>
      </c>
      <c r="F31" s="264">
        <v>306</v>
      </c>
      <c r="G31" s="264">
        <v>202</v>
      </c>
      <c r="H31" s="263">
        <f>F31+G31</f>
        <v>508</v>
      </c>
    </row>
    <row r="32" spans="1:8" ht="21" customHeight="1">
      <c r="A32" s="58">
        <v>5</v>
      </c>
      <c r="B32" s="87" t="s">
        <v>308</v>
      </c>
      <c r="C32" s="261">
        <f>SUM(C28:C31)</f>
        <v>132</v>
      </c>
      <c r="D32" s="261">
        <f>SUM(D28:D31)</f>
        <v>68</v>
      </c>
      <c r="E32" s="262">
        <f>C32+D32</f>
        <v>200</v>
      </c>
      <c r="F32" s="261">
        <f>SUM(F28:F31)</f>
        <v>530</v>
      </c>
      <c r="G32" s="261">
        <f>SUM(G28:G31)</f>
        <v>480</v>
      </c>
      <c r="H32" s="262">
        <f>F32+G32</f>
        <v>1010</v>
      </c>
    </row>
    <row r="33" spans="1:8" ht="21" customHeight="1">
      <c r="A33" s="386" t="s">
        <v>278</v>
      </c>
      <c r="B33" s="387"/>
      <c r="C33" s="387"/>
      <c r="D33" s="387"/>
      <c r="E33" s="387"/>
      <c r="F33" s="387"/>
      <c r="G33" s="387"/>
      <c r="H33" s="387"/>
    </row>
    <row r="34" spans="1:8" ht="28.5" customHeight="1">
      <c r="A34" s="56">
        <v>1</v>
      </c>
      <c r="B34" s="57" t="s">
        <v>378</v>
      </c>
      <c r="C34" s="263">
        <f>129-113</f>
        <v>16</v>
      </c>
      <c r="D34" s="263">
        <f>76-56</f>
        <v>20</v>
      </c>
      <c r="E34" s="263">
        <f>C34+D34</f>
        <v>36</v>
      </c>
      <c r="F34" s="263">
        <v>129</v>
      </c>
      <c r="G34" s="263">
        <v>76</v>
      </c>
      <c r="H34" s="263">
        <f>F34+G34</f>
        <v>205</v>
      </c>
    </row>
    <row r="35" spans="1:8" ht="21" customHeight="1">
      <c r="A35" s="58">
        <v>2</v>
      </c>
      <c r="B35" s="59" t="s">
        <v>195</v>
      </c>
      <c r="C35" s="264">
        <f>348-296</f>
        <v>52</v>
      </c>
      <c r="D35" s="264">
        <f>152-123</f>
        <v>29</v>
      </c>
      <c r="E35" s="263">
        <f>C35+D35</f>
        <v>81</v>
      </c>
      <c r="F35" s="264">
        <v>348</v>
      </c>
      <c r="G35" s="264">
        <v>152</v>
      </c>
      <c r="H35" s="263">
        <f>F35+G35</f>
        <v>500</v>
      </c>
    </row>
    <row r="36" spans="1:8" ht="21" customHeight="1">
      <c r="A36" s="58">
        <v>3</v>
      </c>
      <c r="B36" s="59" t="s">
        <v>376</v>
      </c>
      <c r="C36" s="264">
        <f>64-60</f>
        <v>4</v>
      </c>
      <c r="D36" s="264">
        <v>0</v>
      </c>
      <c r="E36" s="263">
        <f>C36+D36</f>
        <v>4</v>
      </c>
      <c r="F36" s="264">
        <v>64</v>
      </c>
      <c r="G36" s="264">
        <v>16</v>
      </c>
      <c r="H36" s="263">
        <f>F36+G36</f>
        <v>80</v>
      </c>
    </row>
    <row r="37" spans="1:8" ht="21" customHeight="1">
      <c r="A37" s="58">
        <v>4</v>
      </c>
      <c r="B37" s="59" t="s">
        <v>377</v>
      </c>
      <c r="C37" s="264">
        <f>44-42</f>
        <v>2</v>
      </c>
      <c r="D37" s="264">
        <v>0</v>
      </c>
      <c r="E37" s="263">
        <f>C37+D37</f>
        <v>2</v>
      </c>
      <c r="F37" s="264">
        <v>44</v>
      </c>
      <c r="G37" s="264">
        <v>18</v>
      </c>
      <c r="H37" s="263">
        <f>F37+G37</f>
        <v>62</v>
      </c>
    </row>
    <row r="38" spans="1:8" ht="21" customHeight="1">
      <c r="A38" s="58">
        <v>5</v>
      </c>
      <c r="B38" s="87" t="s">
        <v>308</v>
      </c>
      <c r="C38" s="261">
        <f>SUM(C34:C37)</f>
        <v>74</v>
      </c>
      <c r="D38" s="261">
        <f>SUM(D34:D37)</f>
        <v>49</v>
      </c>
      <c r="E38" s="262">
        <f>C38+D38</f>
        <v>123</v>
      </c>
      <c r="F38" s="261">
        <f>SUM(F34:F37)</f>
        <v>585</v>
      </c>
      <c r="G38" s="261">
        <f>SUM(G34:G37)</f>
        <v>262</v>
      </c>
      <c r="H38" s="262">
        <f>F38+G38</f>
        <v>847</v>
      </c>
    </row>
    <row r="39" spans="1:8" ht="21" customHeight="1">
      <c r="A39" s="386" t="s">
        <v>416</v>
      </c>
      <c r="B39" s="387"/>
      <c r="C39" s="387"/>
      <c r="D39" s="387"/>
      <c r="E39" s="387"/>
      <c r="F39" s="387"/>
      <c r="G39" s="387"/>
      <c r="H39" s="387"/>
    </row>
    <row r="40" spans="1:8" ht="26.25" customHeight="1">
      <c r="A40" s="56">
        <v>1</v>
      </c>
      <c r="B40" s="57" t="s">
        <v>378</v>
      </c>
      <c r="C40" s="263">
        <f aca="true" t="shared" si="0" ref="C40:H40">C22+C28+C34</f>
        <v>171</v>
      </c>
      <c r="D40" s="263">
        <f t="shared" si="0"/>
        <v>258</v>
      </c>
      <c r="E40" s="263">
        <f t="shared" si="0"/>
        <v>429</v>
      </c>
      <c r="F40" s="263">
        <f t="shared" si="0"/>
        <v>1541</v>
      </c>
      <c r="G40" s="263">
        <f t="shared" si="0"/>
        <v>2013</v>
      </c>
      <c r="H40" s="263">
        <f t="shared" si="0"/>
        <v>3554</v>
      </c>
    </row>
    <row r="41" spans="1:8" ht="21" customHeight="1">
      <c r="A41" s="58">
        <v>2</v>
      </c>
      <c r="B41" s="59" t="s">
        <v>195</v>
      </c>
      <c r="C41" s="263">
        <f aca="true" t="shared" si="1" ref="C41:H44">C23+C29+C35</f>
        <v>1155</v>
      </c>
      <c r="D41" s="263">
        <f t="shared" si="1"/>
        <v>840</v>
      </c>
      <c r="E41" s="263">
        <f t="shared" si="1"/>
        <v>1995</v>
      </c>
      <c r="F41" s="263">
        <f t="shared" si="1"/>
        <v>8911</v>
      </c>
      <c r="G41" s="263">
        <f t="shared" si="1"/>
        <v>6697</v>
      </c>
      <c r="H41" s="263">
        <f t="shared" si="1"/>
        <v>15608</v>
      </c>
    </row>
    <row r="42" spans="1:8" ht="21" customHeight="1">
      <c r="A42" s="58">
        <v>3</v>
      </c>
      <c r="B42" s="59" t="s">
        <v>376</v>
      </c>
      <c r="C42" s="263">
        <f t="shared" si="1"/>
        <v>224</v>
      </c>
      <c r="D42" s="263">
        <f t="shared" si="1"/>
        <v>49</v>
      </c>
      <c r="E42" s="263">
        <f t="shared" si="1"/>
        <v>273</v>
      </c>
      <c r="F42" s="263">
        <f t="shared" si="1"/>
        <v>1439</v>
      </c>
      <c r="G42" s="263">
        <f t="shared" si="1"/>
        <v>579</v>
      </c>
      <c r="H42" s="263">
        <f t="shared" si="1"/>
        <v>2018</v>
      </c>
    </row>
    <row r="43" spans="1:8" ht="21" customHeight="1">
      <c r="A43" s="58">
        <v>4</v>
      </c>
      <c r="B43" s="59" t="s">
        <v>377</v>
      </c>
      <c r="C43" s="263">
        <f t="shared" si="1"/>
        <v>692</v>
      </c>
      <c r="D43" s="263">
        <f t="shared" si="1"/>
        <v>247</v>
      </c>
      <c r="E43" s="263">
        <f t="shared" si="1"/>
        <v>939</v>
      </c>
      <c r="F43" s="263">
        <f t="shared" si="1"/>
        <v>4134</v>
      </c>
      <c r="G43" s="263">
        <f t="shared" si="1"/>
        <v>1542</v>
      </c>
      <c r="H43" s="263">
        <f t="shared" si="1"/>
        <v>5676</v>
      </c>
    </row>
    <row r="44" spans="1:8" ht="21" customHeight="1">
      <c r="A44" s="58">
        <v>5</v>
      </c>
      <c r="B44" s="87" t="s">
        <v>308</v>
      </c>
      <c r="C44" s="262">
        <f t="shared" si="1"/>
        <v>2242</v>
      </c>
      <c r="D44" s="262">
        <f t="shared" si="1"/>
        <v>1394</v>
      </c>
      <c r="E44" s="262">
        <f t="shared" si="1"/>
        <v>3636</v>
      </c>
      <c r="F44" s="262">
        <f t="shared" si="1"/>
        <v>16025</v>
      </c>
      <c r="G44" s="262">
        <f t="shared" si="1"/>
        <v>10831</v>
      </c>
      <c r="H44" s="262">
        <f t="shared" si="1"/>
        <v>26856</v>
      </c>
    </row>
    <row r="45" spans="1:8" ht="15.75" customHeight="1">
      <c r="A45" s="421" t="s">
        <v>314</v>
      </c>
      <c r="B45" s="421"/>
      <c r="C45" s="428"/>
      <c r="D45" s="428"/>
      <c r="E45" s="428"/>
      <c r="F45" s="428"/>
      <c r="G45" s="428"/>
      <c r="H45" s="428"/>
    </row>
    <row r="48" spans="1:2" ht="14.25" customHeight="1">
      <c r="A48" s="413" t="s">
        <v>309</v>
      </c>
      <c r="B48" s="413"/>
    </row>
    <row r="49" spans="1:4" ht="15.75" customHeight="1">
      <c r="A49" s="413" t="s">
        <v>310</v>
      </c>
      <c r="B49" s="413"/>
      <c r="C49" s="413"/>
      <c r="D49" s="413"/>
    </row>
  </sheetData>
  <sheetProtection selectLockedCells="1" selectUnlockedCells="1"/>
  <mergeCells count="23">
    <mergeCell ref="A49:D49"/>
    <mergeCell ref="C7:H7"/>
    <mergeCell ref="A1:H1"/>
    <mergeCell ref="C3:H3"/>
    <mergeCell ref="C18:E18"/>
    <mergeCell ref="F18:H18"/>
    <mergeCell ref="C5:H5"/>
    <mergeCell ref="A48:B48"/>
    <mergeCell ref="A9:H9"/>
    <mergeCell ref="A12:H12"/>
    <mergeCell ref="A14:H14"/>
    <mergeCell ref="A15:H15"/>
    <mergeCell ref="A11:H11"/>
    <mergeCell ref="A21:H21"/>
    <mergeCell ref="A33:H33"/>
    <mergeCell ref="A39:H39"/>
    <mergeCell ref="A27:H27"/>
    <mergeCell ref="A18:A19"/>
    <mergeCell ref="B18:B19"/>
    <mergeCell ref="A10:H10"/>
    <mergeCell ref="A16:H16"/>
    <mergeCell ref="A45:B45"/>
    <mergeCell ref="C45:H45"/>
  </mergeCells>
  <printOptions/>
  <pageMargins left="0.75" right="0.75" top="1" bottom="1" header="0.5" footer="0.5"/>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dimension ref="A1:K51"/>
  <sheetViews>
    <sheetView view="pageBreakPreview" zoomScaleSheetLayoutView="100" zoomScalePageLayoutView="0" workbookViewId="0" topLeftCell="A15">
      <selection activeCell="C39" sqref="C39"/>
    </sheetView>
  </sheetViews>
  <sheetFormatPr defaultColWidth="9.140625" defaultRowHeight="12.75"/>
  <cols>
    <col min="1" max="1" width="6.7109375" style="25" customWidth="1"/>
    <col min="2" max="2" width="27.7109375" style="25" customWidth="1"/>
    <col min="3" max="4" width="28.28125" style="25" customWidth="1"/>
    <col min="5" max="8" width="8.7109375" style="25" customWidth="1"/>
    <col min="9" max="16384" width="9.140625" style="25" customWidth="1"/>
  </cols>
  <sheetData>
    <row r="1" spans="1:4" s="3" customFormat="1" ht="30" customHeight="1">
      <c r="A1" s="446" t="s">
        <v>65</v>
      </c>
      <c r="B1" s="446"/>
      <c r="C1" s="446"/>
      <c r="D1" s="446"/>
    </row>
    <row r="2" spans="1:4" s="5" customFormat="1" ht="11.25" customHeight="1">
      <c r="A2" s="3"/>
      <c r="B2" s="3"/>
      <c r="C2" s="28"/>
      <c r="D2" s="29"/>
    </row>
    <row r="3" spans="1:4" s="30" customFormat="1" ht="114.75" customHeight="1">
      <c r="A3" s="447" t="s">
        <v>290</v>
      </c>
      <c r="B3" s="447"/>
      <c r="C3" s="448" t="s">
        <v>407</v>
      </c>
      <c r="D3" s="449"/>
    </row>
    <row r="4" spans="1:2" s="5" customFormat="1" ht="14.25">
      <c r="A4" s="6"/>
      <c r="B4" s="6"/>
    </row>
    <row r="5" spans="1:4" s="5" customFormat="1" ht="14.25">
      <c r="A5" s="450" t="s">
        <v>306</v>
      </c>
      <c r="B5" s="450"/>
      <c r="C5" s="451" t="s">
        <v>408</v>
      </c>
      <c r="D5" s="452"/>
    </row>
    <row r="6" spans="1:2" s="5" customFormat="1" ht="14.25">
      <c r="A6" s="6"/>
      <c r="B6" s="6"/>
    </row>
    <row r="7" spans="1:4" s="5" customFormat="1" ht="13.5" customHeight="1">
      <c r="A7" s="434" t="s">
        <v>307</v>
      </c>
      <c r="B7" s="434"/>
      <c r="C7" s="435" t="s">
        <v>409</v>
      </c>
      <c r="D7" s="436"/>
    </row>
    <row r="8" spans="1:2" s="5" customFormat="1" ht="11.25" customHeight="1">
      <c r="A8" s="6"/>
      <c r="B8" s="6"/>
    </row>
    <row r="9" spans="1:4" s="5" customFormat="1" ht="42.75" customHeight="1">
      <c r="A9" s="438" t="s">
        <v>14</v>
      </c>
      <c r="B9" s="438"/>
      <c r="C9" s="438"/>
      <c r="D9" s="438"/>
    </row>
    <row r="10" spans="1:4" s="5" customFormat="1" ht="39" customHeight="1">
      <c r="A10" s="438" t="s">
        <v>298</v>
      </c>
      <c r="B10" s="438"/>
      <c r="C10" s="438"/>
      <c r="D10" s="438"/>
    </row>
    <row r="11" spans="1:2" s="5" customFormat="1" ht="14.25">
      <c r="A11" s="6"/>
      <c r="B11" s="6"/>
    </row>
    <row r="12" spans="1:4" s="7" customFormat="1" ht="14.25" customHeight="1">
      <c r="A12" s="445" t="s">
        <v>305</v>
      </c>
      <c r="B12" s="445"/>
      <c r="C12" s="445"/>
      <c r="D12" s="445"/>
    </row>
    <row r="13" spans="1:11" s="7" customFormat="1" ht="13.5" customHeight="1">
      <c r="A13" s="416" t="s">
        <v>317</v>
      </c>
      <c r="B13" s="416"/>
      <c r="C13" s="416"/>
      <c r="D13" s="416"/>
      <c r="K13" s="32"/>
    </row>
    <row r="14" spans="1:3" s="7" customFormat="1" ht="12" customHeight="1" thickBot="1">
      <c r="A14" s="33"/>
      <c r="B14" s="34"/>
      <c r="C14" s="34"/>
    </row>
    <row r="15" spans="1:4" s="3" customFormat="1" ht="20.25" customHeight="1">
      <c r="A15" s="440" t="s">
        <v>321</v>
      </c>
      <c r="B15" s="442" t="s">
        <v>213</v>
      </c>
      <c r="C15" s="442" t="s">
        <v>220</v>
      </c>
      <c r="D15" s="453"/>
    </row>
    <row r="16" spans="1:4" s="36" customFormat="1" ht="18.75" customHeight="1">
      <c r="A16" s="441"/>
      <c r="B16" s="430"/>
      <c r="C16" s="26" t="s">
        <v>319</v>
      </c>
      <c r="D16" s="35" t="s">
        <v>320</v>
      </c>
    </row>
    <row r="17" spans="1:4" s="3" customFormat="1" ht="15.75" customHeight="1">
      <c r="A17" s="272">
        <v>1</v>
      </c>
      <c r="B17" s="273">
        <v>2</v>
      </c>
      <c r="C17" s="273">
        <v>3</v>
      </c>
      <c r="D17" s="274">
        <v>4</v>
      </c>
    </row>
    <row r="18" spans="1:4" s="3" customFormat="1" ht="12" customHeight="1">
      <c r="A18" s="439" t="s">
        <v>266</v>
      </c>
      <c r="B18" s="439"/>
      <c r="C18" s="439"/>
      <c r="D18" s="439"/>
    </row>
    <row r="19" spans="1:4" s="3" customFormat="1" ht="27" customHeight="1">
      <c r="A19" s="37">
        <v>1</v>
      </c>
      <c r="B19" s="38" t="s">
        <v>299</v>
      </c>
      <c r="C19" s="275">
        <v>48</v>
      </c>
      <c r="D19" s="275">
        <v>327</v>
      </c>
    </row>
    <row r="20" spans="1:4" s="3" customFormat="1" ht="27.75" customHeight="1">
      <c r="A20" s="39">
        <v>2</v>
      </c>
      <c r="B20" s="40" t="s">
        <v>223</v>
      </c>
      <c r="C20" s="276">
        <v>22</v>
      </c>
      <c r="D20" s="276">
        <v>80</v>
      </c>
    </row>
    <row r="21" spans="1:4" s="3" customFormat="1" ht="27.75" customHeight="1">
      <c r="A21" s="39">
        <v>3</v>
      </c>
      <c r="B21" s="40" t="s">
        <v>224</v>
      </c>
      <c r="C21" s="276">
        <v>3</v>
      </c>
      <c r="D21" s="276">
        <v>27</v>
      </c>
    </row>
    <row r="22" spans="1:4" s="3" customFormat="1" ht="27" customHeight="1">
      <c r="A22" s="39">
        <v>4</v>
      </c>
      <c r="B22" s="40" t="s">
        <v>331</v>
      </c>
      <c r="C22" s="276">
        <v>0</v>
      </c>
      <c r="D22" s="276">
        <v>8</v>
      </c>
    </row>
    <row r="23" spans="1:4" s="3" customFormat="1" ht="27" customHeight="1">
      <c r="A23" s="39">
        <v>5</v>
      </c>
      <c r="B23" s="41" t="s">
        <v>308</v>
      </c>
      <c r="C23" s="26">
        <f>SUM(C19:C22)</f>
        <v>73</v>
      </c>
      <c r="D23" s="26">
        <f>SUM(D19:D22)</f>
        <v>442</v>
      </c>
    </row>
    <row r="24" spans="1:4" s="3" customFormat="1" ht="14.25" customHeight="1">
      <c r="A24" s="439" t="s">
        <v>276</v>
      </c>
      <c r="B24" s="439"/>
      <c r="C24" s="439"/>
      <c r="D24" s="439"/>
    </row>
    <row r="25" spans="1:4" s="3" customFormat="1" ht="27" customHeight="1">
      <c r="A25" s="37">
        <v>1</v>
      </c>
      <c r="B25" s="38" t="s">
        <v>299</v>
      </c>
      <c r="C25" s="275">
        <v>0</v>
      </c>
      <c r="D25" s="275">
        <v>0</v>
      </c>
    </row>
    <row r="26" spans="1:4" s="3" customFormat="1" ht="27.75" customHeight="1">
      <c r="A26" s="39">
        <v>2</v>
      </c>
      <c r="B26" s="40" t="s">
        <v>223</v>
      </c>
      <c r="C26" s="275">
        <v>0</v>
      </c>
      <c r="D26" s="275">
        <v>0</v>
      </c>
    </row>
    <row r="27" spans="1:4" s="3" customFormat="1" ht="27.75" customHeight="1">
      <c r="A27" s="39">
        <v>3</v>
      </c>
      <c r="B27" s="40" t="s">
        <v>224</v>
      </c>
      <c r="C27" s="275">
        <v>0</v>
      </c>
      <c r="D27" s="275">
        <v>0</v>
      </c>
    </row>
    <row r="28" spans="1:4" s="3" customFormat="1" ht="27" customHeight="1">
      <c r="A28" s="39">
        <v>4</v>
      </c>
      <c r="B28" s="40" t="s">
        <v>331</v>
      </c>
      <c r="C28" s="275">
        <v>0</v>
      </c>
      <c r="D28" s="275">
        <v>0</v>
      </c>
    </row>
    <row r="29" spans="1:4" s="3" customFormat="1" ht="27" customHeight="1">
      <c r="A29" s="39">
        <v>5</v>
      </c>
      <c r="B29" s="41" t="s">
        <v>308</v>
      </c>
      <c r="C29" s="275">
        <v>0</v>
      </c>
      <c r="D29" s="26">
        <f>SUM(D25:D28)</f>
        <v>0</v>
      </c>
    </row>
    <row r="30" spans="1:4" s="3" customFormat="1" ht="14.25" customHeight="1">
      <c r="A30" s="439" t="s">
        <v>278</v>
      </c>
      <c r="B30" s="439"/>
      <c r="C30" s="439"/>
      <c r="D30" s="439"/>
    </row>
    <row r="31" spans="1:4" s="3" customFormat="1" ht="27" customHeight="1">
      <c r="A31" s="37">
        <v>1</v>
      </c>
      <c r="B31" s="38" t="s">
        <v>299</v>
      </c>
      <c r="C31" s="275">
        <v>0</v>
      </c>
      <c r="D31" s="275">
        <v>0</v>
      </c>
    </row>
    <row r="32" spans="1:4" s="3" customFormat="1" ht="27.75" customHeight="1">
      <c r="A32" s="39">
        <v>2</v>
      </c>
      <c r="B32" s="40" t="s">
        <v>223</v>
      </c>
      <c r="C32" s="275">
        <v>0</v>
      </c>
      <c r="D32" s="275">
        <v>0</v>
      </c>
    </row>
    <row r="33" spans="1:4" s="3" customFormat="1" ht="27.75" customHeight="1">
      <c r="A33" s="39">
        <v>3</v>
      </c>
      <c r="B33" s="40" t="s">
        <v>224</v>
      </c>
      <c r="C33" s="275">
        <v>0</v>
      </c>
      <c r="D33" s="275">
        <v>0</v>
      </c>
    </row>
    <row r="34" spans="1:4" s="3" customFormat="1" ht="27" customHeight="1">
      <c r="A34" s="39">
        <v>4</v>
      </c>
      <c r="B34" s="40" t="s">
        <v>331</v>
      </c>
      <c r="C34" s="275">
        <v>0</v>
      </c>
      <c r="D34" s="275">
        <v>0</v>
      </c>
    </row>
    <row r="35" spans="1:4" s="3" customFormat="1" ht="27" customHeight="1">
      <c r="A35" s="39">
        <v>5</v>
      </c>
      <c r="B35" s="41" t="s">
        <v>308</v>
      </c>
      <c r="C35" s="275">
        <v>0</v>
      </c>
      <c r="D35" s="26">
        <f>SUM(D31:D34)</f>
        <v>0</v>
      </c>
    </row>
    <row r="36" spans="1:4" s="3" customFormat="1" ht="11.25" customHeight="1">
      <c r="A36" s="439" t="s">
        <v>416</v>
      </c>
      <c r="B36" s="439"/>
      <c r="C36" s="439"/>
      <c r="D36" s="439"/>
    </row>
    <row r="37" spans="1:4" s="3" customFormat="1" ht="27" customHeight="1">
      <c r="A37" s="37">
        <v>1</v>
      </c>
      <c r="B37" s="38" t="s">
        <v>299</v>
      </c>
      <c r="C37" s="275">
        <f>C19</f>
        <v>48</v>
      </c>
      <c r="D37" s="275">
        <v>327</v>
      </c>
    </row>
    <row r="38" spans="1:4" s="3" customFormat="1" ht="27.75" customHeight="1">
      <c r="A38" s="39">
        <v>2</v>
      </c>
      <c r="B38" s="40" t="s">
        <v>223</v>
      </c>
      <c r="C38" s="275">
        <f>C20</f>
        <v>22</v>
      </c>
      <c r="D38" s="276">
        <v>80</v>
      </c>
    </row>
    <row r="39" spans="1:4" s="3" customFormat="1" ht="27.75" customHeight="1">
      <c r="A39" s="39">
        <v>3</v>
      </c>
      <c r="B39" s="40" t="s">
        <v>224</v>
      </c>
      <c r="C39" s="275">
        <f>C21</f>
        <v>3</v>
      </c>
      <c r="D39" s="276">
        <v>27</v>
      </c>
    </row>
    <row r="40" spans="1:4" s="3" customFormat="1" ht="27" customHeight="1">
      <c r="A40" s="39">
        <v>4</v>
      </c>
      <c r="B40" s="40" t="s">
        <v>331</v>
      </c>
      <c r="C40" s="275">
        <f>C22</f>
        <v>0</v>
      </c>
      <c r="D40" s="276">
        <v>8</v>
      </c>
    </row>
    <row r="41" spans="1:4" s="3" customFormat="1" ht="27" customHeight="1">
      <c r="A41" s="39">
        <v>5</v>
      </c>
      <c r="B41" s="41" t="s">
        <v>308</v>
      </c>
      <c r="C41" s="277">
        <f>C23</f>
        <v>73</v>
      </c>
      <c r="D41" s="26">
        <f>SUM(D37:D40)</f>
        <v>442</v>
      </c>
    </row>
    <row r="42" spans="1:4" s="3" customFormat="1" ht="27" customHeight="1">
      <c r="A42" s="430" t="s">
        <v>314</v>
      </c>
      <c r="B42" s="430"/>
      <c r="C42" s="437"/>
      <c r="D42" s="437"/>
    </row>
    <row r="43" spans="1:4" s="3" customFormat="1" ht="15" customHeight="1">
      <c r="A43" s="42"/>
      <c r="B43" s="42"/>
      <c r="C43" s="43"/>
      <c r="D43" s="43"/>
    </row>
    <row r="44" spans="1:4" s="3" customFormat="1" ht="15" customHeight="1">
      <c r="A44" s="432" t="s">
        <v>42</v>
      </c>
      <c r="B44" s="432"/>
      <c r="C44" s="432"/>
      <c r="D44" s="432"/>
    </row>
    <row r="45" spans="1:4" s="45" customFormat="1" ht="112.5" customHeight="1">
      <c r="A45" s="443" t="s">
        <v>146</v>
      </c>
      <c r="B45" s="444"/>
      <c r="C45" s="444"/>
      <c r="D45" s="444"/>
    </row>
    <row r="46" spans="1:4" ht="176.25" customHeight="1">
      <c r="A46" s="443" t="s">
        <v>43</v>
      </c>
      <c r="B46" s="443"/>
      <c r="C46" s="443"/>
      <c r="D46" s="443"/>
    </row>
    <row r="47" spans="1:4" ht="42" customHeight="1">
      <c r="A47" s="431" t="s">
        <v>235</v>
      </c>
      <c r="B47" s="431"/>
      <c r="C47" s="431"/>
      <c r="D47" s="431"/>
    </row>
    <row r="48" spans="1:4" ht="36" customHeight="1">
      <c r="A48" s="431" t="s">
        <v>4</v>
      </c>
      <c r="B48" s="431"/>
      <c r="C48" s="431"/>
      <c r="D48" s="431"/>
    </row>
    <row r="49" spans="1:4" ht="12.75">
      <c r="A49" s="44"/>
      <c r="B49" s="44"/>
      <c r="C49" s="44"/>
      <c r="D49" s="44"/>
    </row>
    <row r="50" spans="1:2" ht="15.75" customHeight="1">
      <c r="A50" s="433" t="s">
        <v>309</v>
      </c>
      <c r="B50" s="433"/>
    </row>
    <row r="51" spans="1:2" ht="15.75" customHeight="1">
      <c r="A51" s="433" t="s">
        <v>310</v>
      </c>
      <c r="B51" s="433"/>
    </row>
  </sheetData>
  <sheetProtection selectLockedCells="1" selectUnlockedCells="1"/>
  <mergeCells count="27">
    <mergeCell ref="A1:D1"/>
    <mergeCell ref="A3:B3"/>
    <mergeCell ref="C3:D3"/>
    <mergeCell ref="A5:B5"/>
    <mergeCell ref="C5:D5"/>
    <mergeCell ref="A18:D18"/>
    <mergeCell ref="C15:D15"/>
    <mergeCell ref="A51:B51"/>
    <mergeCell ref="A15:A16"/>
    <mergeCell ref="B15:B16"/>
    <mergeCell ref="A45:D45"/>
    <mergeCell ref="A46:D46"/>
    <mergeCell ref="A10:D10"/>
    <mergeCell ref="A12:D12"/>
    <mergeCell ref="A13:D13"/>
    <mergeCell ref="A24:D24"/>
    <mergeCell ref="A30:D30"/>
    <mergeCell ref="A42:B42"/>
    <mergeCell ref="A48:D48"/>
    <mergeCell ref="A44:D44"/>
    <mergeCell ref="A50:B50"/>
    <mergeCell ref="A7:B7"/>
    <mergeCell ref="C7:D7"/>
    <mergeCell ref="A47:D47"/>
    <mergeCell ref="C42:D42"/>
    <mergeCell ref="A9:D9"/>
    <mergeCell ref="A36:D36"/>
  </mergeCells>
  <printOptions horizontalCentered="1"/>
  <pageMargins left="0.7875" right="0.7875" top="0.7875000000000001" bottom="0.7875" header="0.5118055555555556" footer="0.5118055555555556"/>
  <pageSetup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A1:N51"/>
  <sheetViews>
    <sheetView view="pageBreakPreview" zoomScaleSheetLayoutView="100" zoomScalePageLayoutView="0" workbookViewId="0" topLeftCell="B31">
      <selection activeCell="F46" sqref="F46"/>
    </sheetView>
  </sheetViews>
  <sheetFormatPr defaultColWidth="9.140625" defaultRowHeight="12.75"/>
  <cols>
    <col min="1" max="1" width="25.28125" style="3" customWidth="1"/>
    <col min="2" max="2" width="27.00390625" style="3" customWidth="1"/>
    <col min="3" max="6" width="18.8515625" style="3" customWidth="1"/>
    <col min="7" max="9" width="19.140625" style="3" customWidth="1"/>
    <col min="10" max="10" width="14.28125" style="3" customWidth="1"/>
    <col min="11" max="11" width="10.00390625" style="3" customWidth="1"/>
    <col min="12" max="12" width="13.00390625" style="3" customWidth="1"/>
    <col min="13" max="13" width="10.00390625" style="3" bestFit="1" customWidth="1"/>
    <col min="14" max="14" width="14.00390625" style="3" customWidth="1"/>
    <col min="15" max="15" width="10.00390625" style="3" bestFit="1" customWidth="1"/>
    <col min="16" max="16384" width="9.140625" style="3" customWidth="1"/>
  </cols>
  <sheetData>
    <row r="1" spans="1:9" ht="21.75" customHeight="1">
      <c r="A1" s="461" t="s">
        <v>358</v>
      </c>
      <c r="B1" s="461"/>
      <c r="C1" s="461"/>
      <c r="D1" s="461"/>
      <c r="E1" s="461"/>
      <c r="F1" s="461"/>
      <c r="G1" s="461"/>
      <c r="H1" s="461"/>
      <c r="I1" s="461"/>
    </row>
    <row r="3" spans="1:9" ht="60" customHeight="1">
      <c r="A3" s="161" t="s">
        <v>290</v>
      </c>
      <c r="B3" s="468" t="s">
        <v>407</v>
      </c>
      <c r="C3" s="468"/>
      <c r="D3" s="468"/>
      <c r="E3" s="468"/>
      <c r="F3" s="468"/>
      <c r="G3" s="468"/>
      <c r="H3" s="468"/>
      <c r="I3" s="468"/>
    </row>
    <row r="5" spans="1:9" s="5" customFormat="1" ht="14.25">
      <c r="A5" s="4" t="s">
        <v>306</v>
      </c>
      <c r="B5" s="462" t="s">
        <v>408</v>
      </c>
      <c r="C5" s="463"/>
      <c r="D5" s="463"/>
      <c r="E5" s="463"/>
      <c r="F5" s="463"/>
      <c r="G5" s="463"/>
      <c r="H5" s="463"/>
      <c r="I5" s="463"/>
    </row>
    <row r="6" s="5" customFormat="1" ht="14.25">
      <c r="A6" s="6"/>
    </row>
    <row r="7" spans="1:9" s="5" customFormat="1" ht="14.25">
      <c r="A7" s="4" t="s">
        <v>307</v>
      </c>
      <c r="B7" s="462" t="s">
        <v>409</v>
      </c>
      <c r="C7" s="463"/>
      <c r="D7" s="463"/>
      <c r="E7" s="463"/>
      <c r="F7" s="463"/>
      <c r="G7" s="463"/>
      <c r="H7" s="463"/>
      <c r="I7" s="463"/>
    </row>
    <row r="9" spans="1:9" s="7" customFormat="1" ht="65.25" customHeight="1">
      <c r="A9" s="464" t="s">
        <v>236</v>
      </c>
      <c r="B9" s="465"/>
      <c r="C9" s="465"/>
      <c r="D9" s="465"/>
      <c r="E9" s="465"/>
      <c r="F9" s="465"/>
      <c r="G9" s="465"/>
      <c r="H9" s="465"/>
      <c r="I9" s="465"/>
    </row>
    <row r="10" spans="1:9" s="7" customFormat="1" ht="52.5" customHeight="1">
      <c r="A10" s="466" t="s">
        <v>5</v>
      </c>
      <c r="B10" s="467"/>
      <c r="C10" s="467"/>
      <c r="D10" s="467"/>
      <c r="E10" s="467"/>
      <c r="F10" s="467"/>
      <c r="G10" s="467"/>
      <c r="H10" s="467"/>
      <c r="I10" s="467"/>
    </row>
    <row r="11" spans="1:9" ht="12.75">
      <c r="A11" s="8"/>
      <c r="B11" s="9"/>
      <c r="C11" s="9"/>
      <c r="D11" s="9"/>
      <c r="E11" s="9"/>
      <c r="F11" s="9"/>
      <c r="G11" s="9"/>
      <c r="H11" s="9"/>
      <c r="I11" s="9"/>
    </row>
    <row r="12" spans="1:9" ht="32.25" customHeight="1">
      <c r="A12" s="408" t="s">
        <v>163</v>
      </c>
      <c r="B12" s="408"/>
      <c r="C12" s="408"/>
      <c r="D12" s="408"/>
      <c r="E12" s="408"/>
      <c r="F12" s="408"/>
      <c r="G12" s="408"/>
      <c r="H12" s="408"/>
      <c r="I12" s="408"/>
    </row>
    <row r="13" spans="1:9" ht="15">
      <c r="A13" s="10"/>
      <c r="B13" s="10"/>
      <c r="C13" s="10"/>
      <c r="D13" s="10"/>
      <c r="E13" s="10"/>
      <c r="F13" s="10"/>
      <c r="G13" s="10"/>
      <c r="H13" s="10"/>
      <c r="I13" s="10"/>
    </row>
    <row r="14" spans="1:14" s="13" customFormat="1" ht="201" customHeight="1">
      <c r="A14" s="454" t="s">
        <v>3</v>
      </c>
      <c r="B14" s="455"/>
      <c r="C14" s="455"/>
      <c r="D14" s="455"/>
      <c r="E14" s="455"/>
      <c r="F14" s="455"/>
      <c r="G14" s="455"/>
      <c r="H14" s="455"/>
      <c r="I14" s="455"/>
      <c r="J14" s="1"/>
      <c r="K14" s="1"/>
      <c r="L14" s="1"/>
      <c r="M14" s="1"/>
      <c r="N14" s="1"/>
    </row>
    <row r="15" spans="1:14" s="13" customFormat="1" ht="12.75">
      <c r="A15" s="455" t="s">
        <v>233</v>
      </c>
      <c r="B15" s="455"/>
      <c r="C15" s="455"/>
      <c r="D15" s="455"/>
      <c r="E15" s="455"/>
      <c r="F15" s="455"/>
      <c r="G15" s="455"/>
      <c r="H15" s="455"/>
      <c r="I15" s="455"/>
      <c r="J15" s="1"/>
      <c r="K15" s="1"/>
      <c r="L15" s="1"/>
      <c r="M15" s="1"/>
      <c r="N15" s="1"/>
    </row>
    <row r="16" spans="1:14" s="13" customFormat="1" ht="27" customHeight="1">
      <c r="A16" s="456" t="s">
        <v>2</v>
      </c>
      <c r="B16" s="456"/>
      <c r="C16" s="456"/>
      <c r="D16" s="456"/>
      <c r="E16" s="456"/>
      <c r="F16" s="456"/>
      <c r="G16" s="456"/>
      <c r="H16" s="456"/>
      <c r="I16" s="456"/>
      <c r="J16" s="1"/>
      <c r="K16" s="1"/>
      <c r="L16" s="1"/>
      <c r="M16" s="1"/>
      <c r="N16" s="1"/>
    </row>
    <row r="17" spans="1:14" s="13" customFormat="1" ht="12.75">
      <c r="A17" s="11"/>
      <c r="B17" s="12"/>
      <c r="C17" s="12"/>
      <c r="D17" s="12"/>
      <c r="E17" s="12"/>
      <c r="F17" s="12"/>
      <c r="G17" s="12"/>
      <c r="H17" s="12"/>
      <c r="I17" s="12"/>
      <c r="J17" s="1"/>
      <c r="K17" s="1"/>
      <c r="L17" s="1"/>
      <c r="M17" s="1"/>
      <c r="N17" s="1"/>
    </row>
    <row r="18" spans="1:8" s="1" customFormat="1" ht="68.25" customHeight="1">
      <c r="A18" s="426" t="s">
        <v>234</v>
      </c>
      <c r="B18" s="426" t="s">
        <v>237</v>
      </c>
      <c r="C18" s="426" t="s">
        <v>6</v>
      </c>
      <c r="D18" s="426"/>
      <c r="E18" s="426" t="s">
        <v>7</v>
      </c>
      <c r="F18" s="426"/>
      <c r="G18" s="426" t="s">
        <v>8</v>
      </c>
      <c r="H18" s="15"/>
    </row>
    <row r="19" spans="1:8" s="1" customFormat="1" ht="51" customHeight="1">
      <c r="A19" s="426"/>
      <c r="B19" s="426"/>
      <c r="C19" s="426" t="s">
        <v>238</v>
      </c>
      <c r="D19" s="426" t="s">
        <v>239</v>
      </c>
      <c r="E19" s="426" t="s">
        <v>238</v>
      </c>
      <c r="F19" s="426" t="s">
        <v>239</v>
      </c>
      <c r="G19" s="426"/>
      <c r="H19" s="15"/>
    </row>
    <row r="20" spans="1:8" s="1" customFormat="1" ht="18" customHeight="1">
      <c r="A20" s="426"/>
      <c r="B20" s="426"/>
      <c r="C20" s="426"/>
      <c r="D20" s="426"/>
      <c r="E20" s="426"/>
      <c r="F20" s="426"/>
      <c r="G20" s="426"/>
      <c r="H20" s="16"/>
    </row>
    <row r="21" spans="1:8" s="2" customFormat="1" ht="12.75">
      <c r="A21" s="17">
        <v>1</v>
      </c>
      <c r="B21" s="17">
        <v>2</v>
      </c>
      <c r="C21" s="17">
        <v>3</v>
      </c>
      <c r="D21" s="17">
        <v>4</v>
      </c>
      <c r="E21" s="17">
        <v>5</v>
      </c>
      <c r="F21" s="17">
        <v>6</v>
      </c>
      <c r="G21" s="17">
        <v>7</v>
      </c>
      <c r="H21" s="18"/>
    </row>
    <row r="22" spans="1:8" ht="209.25" customHeight="1">
      <c r="A22" s="278" t="s">
        <v>266</v>
      </c>
      <c r="B22" s="279" t="s">
        <v>423</v>
      </c>
      <c r="C22" s="281">
        <v>12</v>
      </c>
      <c r="D22" s="281">
        <v>12</v>
      </c>
      <c r="E22" s="282">
        <v>130827756.66</v>
      </c>
      <c r="F22" s="282">
        <v>125319286.71000005</v>
      </c>
      <c r="G22" s="282">
        <v>58086273.18</v>
      </c>
      <c r="H22" s="19"/>
    </row>
    <row r="23" spans="1:8" ht="123.75">
      <c r="A23" s="278" t="s">
        <v>276</v>
      </c>
      <c r="B23" s="279" t="s">
        <v>422</v>
      </c>
      <c r="C23" s="281">
        <v>22</v>
      </c>
      <c r="D23" s="281">
        <v>22</v>
      </c>
      <c r="E23" s="282">
        <v>37848893.629999995</v>
      </c>
      <c r="F23" s="282">
        <v>32893681.499999993</v>
      </c>
      <c r="G23" s="282">
        <v>24798693.099999987</v>
      </c>
      <c r="H23" s="19"/>
    </row>
    <row r="24" spans="1:8" ht="12.75">
      <c r="A24" s="278" t="s">
        <v>278</v>
      </c>
      <c r="B24" s="279" t="s">
        <v>421</v>
      </c>
      <c r="C24" s="280"/>
      <c r="D24" s="280"/>
      <c r="E24" s="280"/>
      <c r="F24" s="280"/>
      <c r="G24" s="280"/>
      <c r="H24" s="19"/>
    </row>
    <row r="25" spans="1:8" ht="12.75">
      <c r="A25" s="27" t="s">
        <v>314</v>
      </c>
      <c r="B25" s="457"/>
      <c r="C25" s="458"/>
      <c r="D25" s="458"/>
      <c r="E25" s="458"/>
      <c r="F25" s="458"/>
      <c r="G25" s="459"/>
      <c r="H25" s="19"/>
    </row>
    <row r="26" spans="1:8" ht="12.75">
      <c r="A26" s="460"/>
      <c r="B26" s="460"/>
      <c r="C26" s="460"/>
      <c r="D26" s="460"/>
      <c r="E26" s="460"/>
      <c r="F26" s="460"/>
      <c r="G26" s="460"/>
      <c r="H26" s="19"/>
    </row>
    <row r="28" spans="1:9" ht="28.5" customHeight="1">
      <c r="A28" s="408" t="s">
        <v>164</v>
      </c>
      <c r="B28" s="408"/>
      <c r="C28" s="408"/>
      <c r="D28" s="408"/>
      <c r="E28" s="408"/>
      <c r="F28" s="408"/>
      <c r="G28" s="408"/>
      <c r="H28" s="408"/>
      <c r="I28" s="408"/>
    </row>
    <row r="29" spans="1:9" ht="15">
      <c r="A29" s="10"/>
      <c r="B29" s="10"/>
      <c r="C29" s="10"/>
      <c r="D29" s="10"/>
      <c r="E29" s="10"/>
      <c r="F29" s="10"/>
      <c r="G29" s="10"/>
      <c r="H29" s="10"/>
      <c r="I29" s="10"/>
    </row>
    <row r="30" spans="1:9" s="7" customFormat="1" ht="55.5" customHeight="1">
      <c r="A30" s="454" t="s">
        <v>9</v>
      </c>
      <c r="B30" s="455"/>
      <c r="C30" s="455"/>
      <c r="D30" s="455"/>
      <c r="E30" s="455"/>
      <c r="F30" s="455"/>
      <c r="G30" s="455"/>
      <c r="H30" s="455"/>
      <c r="I30" s="455"/>
    </row>
    <row r="31" spans="1:9" s="7" customFormat="1" ht="199.5" customHeight="1">
      <c r="A31" s="469" t="s">
        <v>1</v>
      </c>
      <c r="B31" s="470"/>
      <c r="C31" s="470"/>
      <c r="D31" s="470"/>
      <c r="E31" s="470"/>
      <c r="F31" s="470"/>
      <c r="G31" s="470"/>
      <c r="H31" s="470"/>
      <c r="I31" s="470"/>
    </row>
    <row r="32" spans="1:9" s="7" customFormat="1" ht="12.75">
      <c r="A32" s="456" t="s">
        <v>233</v>
      </c>
      <c r="B32" s="456"/>
      <c r="C32" s="456"/>
      <c r="D32" s="456"/>
      <c r="E32" s="456"/>
      <c r="F32" s="456"/>
      <c r="G32" s="456"/>
      <c r="H32" s="456"/>
      <c r="I32" s="456"/>
    </row>
    <row r="33" spans="1:9" s="7" customFormat="1" ht="27" customHeight="1">
      <c r="A33" s="456" t="s">
        <v>2</v>
      </c>
      <c r="B33" s="456"/>
      <c r="C33" s="456"/>
      <c r="D33" s="456"/>
      <c r="E33" s="456"/>
      <c r="F33" s="456"/>
      <c r="G33" s="456"/>
      <c r="H33" s="456"/>
      <c r="I33" s="456"/>
    </row>
    <row r="34" spans="1:6" s="7" customFormat="1" ht="12.75">
      <c r="A34" s="20"/>
      <c r="B34" s="20"/>
      <c r="C34" s="20"/>
      <c r="D34" s="21"/>
      <c r="E34" s="21"/>
      <c r="F34" s="21"/>
    </row>
    <row r="35" spans="1:9" ht="24.75" customHeight="1">
      <c r="A35" s="426" t="s">
        <v>234</v>
      </c>
      <c r="B35" s="426" t="s">
        <v>10</v>
      </c>
      <c r="C35" s="426"/>
      <c r="D35" s="426" t="s">
        <v>11</v>
      </c>
      <c r="E35" s="426"/>
      <c r="F35" s="426" t="s">
        <v>12</v>
      </c>
      <c r="G35" s="426"/>
      <c r="H35" s="426"/>
      <c r="I35" s="426"/>
    </row>
    <row r="36" spans="1:9" ht="27" customHeight="1">
      <c r="A36" s="426"/>
      <c r="B36" s="426"/>
      <c r="C36" s="426"/>
      <c r="D36" s="426"/>
      <c r="E36" s="426"/>
      <c r="F36" s="426" t="s">
        <v>240</v>
      </c>
      <c r="G36" s="426" t="s">
        <v>241</v>
      </c>
      <c r="H36" s="426"/>
      <c r="I36" s="426"/>
    </row>
    <row r="37" spans="1:9" ht="33.75" customHeight="1">
      <c r="A37" s="426"/>
      <c r="B37" s="426" t="s">
        <v>238</v>
      </c>
      <c r="C37" s="426" t="s">
        <v>239</v>
      </c>
      <c r="D37" s="426" t="s">
        <v>238</v>
      </c>
      <c r="E37" s="426" t="s">
        <v>239</v>
      </c>
      <c r="F37" s="426"/>
      <c r="G37" s="14" t="s">
        <v>202</v>
      </c>
      <c r="H37" s="14" t="s">
        <v>242</v>
      </c>
      <c r="I37" s="14" t="s">
        <v>243</v>
      </c>
    </row>
    <row r="38" spans="1:9" ht="35.25" customHeight="1">
      <c r="A38" s="426"/>
      <c r="B38" s="426"/>
      <c r="C38" s="426"/>
      <c r="D38" s="426"/>
      <c r="E38" s="426"/>
      <c r="F38" s="426"/>
      <c r="G38" s="14" t="s">
        <v>244</v>
      </c>
      <c r="H38" s="14" t="s">
        <v>244</v>
      </c>
      <c r="I38" s="14" t="s">
        <v>244</v>
      </c>
    </row>
    <row r="39" spans="1:9" ht="14.25" customHeight="1">
      <c r="A39" s="17">
        <v>1</v>
      </c>
      <c r="B39" s="22">
        <v>2</v>
      </c>
      <c r="C39" s="22">
        <v>3</v>
      </c>
      <c r="D39" s="22">
        <v>4</v>
      </c>
      <c r="E39" s="22">
        <v>5</v>
      </c>
      <c r="F39" s="22" t="s">
        <v>230</v>
      </c>
      <c r="G39" s="22">
        <v>7</v>
      </c>
      <c r="H39" s="22">
        <v>8</v>
      </c>
      <c r="I39" s="22">
        <v>9</v>
      </c>
    </row>
    <row r="40" spans="1:9" ht="14.25" customHeight="1">
      <c r="A40" s="475" t="s">
        <v>13</v>
      </c>
      <c r="B40" s="475"/>
      <c r="C40" s="475"/>
      <c r="D40" s="475"/>
      <c r="E40" s="475"/>
      <c r="F40" s="475"/>
      <c r="G40" s="475"/>
      <c r="H40" s="475"/>
      <c r="I40" s="475"/>
    </row>
    <row r="41" spans="1:9" s="284" customFormat="1" ht="12.75">
      <c r="A41" s="283" t="s">
        <v>266</v>
      </c>
      <c r="B41" s="283">
        <v>0</v>
      </c>
      <c r="C41" s="283">
        <v>0</v>
      </c>
      <c r="D41" s="285">
        <v>0</v>
      </c>
      <c r="E41" s="285">
        <v>0</v>
      </c>
      <c r="F41" s="285">
        <v>0</v>
      </c>
      <c r="G41" s="285">
        <v>0</v>
      </c>
      <c r="H41" s="285">
        <v>0</v>
      </c>
      <c r="I41" s="285">
        <v>0</v>
      </c>
    </row>
    <row r="42" spans="1:9" s="284" customFormat="1" ht="12.75">
      <c r="A42" s="283" t="s">
        <v>276</v>
      </c>
      <c r="B42" s="283">
        <v>0</v>
      </c>
      <c r="C42" s="283">
        <v>0</v>
      </c>
      <c r="D42" s="285">
        <v>0</v>
      </c>
      <c r="E42" s="285">
        <v>0</v>
      </c>
      <c r="F42" s="285">
        <v>0</v>
      </c>
      <c r="G42" s="285">
        <v>0</v>
      </c>
      <c r="H42" s="285">
        <v>0</v>
      </c>
      <c r="I42" s="285">
        <v>0</v>
      </c>
    </row>
    <row r="43" spans="1:9" s="284" customFormat="1" ht="12.75">
      <c r="A43" s="283" t="s">
        <v>278</v>
      </c>
      <c r="B43" s="283">
        <v>0</v>
      </c>
      <c r="C43" s="283">
        <v>0</v>
      </c>
      <c r="D43" s="285">
        <v>0</v>
      </c>
      <c r="E43" s="285">
        <v>0</v>
      </c>
      <c r="F43" s="285">
        <v>0</v>
      </c>
      <c r="G43" s="285">
        <v>0</v>
      </c>
      <c r="H43" s="285">
        <v>0</v>
      </c>
      <c r="I43" s="285">
        <v>0</v>
      </c>
    </row>
    <row r="44" spans="1:9" s="284" customFormat="1" ht="12.75">
      <c r="A44" s="476" t="s">
        <v>424</v>
      </c>
      <c r="B44" s="476"/>
      <c r="C44" s="476"/>
      <c r="D44" s="476"/>
      <c r="E44" s="476"/>
      <c r="F44" s="476"/>
      <c r="G44" s="476"/>
      <c r="H44" s="476"/>
      <c r="I44" s="476"/>
    </row>
    <row r="45" spans="1:9" s="284" customFormat="1" ht="12.75">
      <c r="A45" s="283" t="s">
        <v>266</v>
      </c>
      <c r="B45" s="283">
        <v>12</v>
      </c>
      <c r="C45" s="283">
        <v>12</v>
      </c>
      <c r="D45" s="285">
        <v>130827756.66</v>
      </c>
      <c r="E45" s="285">
        <v>125319286.71000005</v>
      </c>
      <c r="F45" s="285">
        <f>SUM(G45:I45)</f>
        <v>57992554.58</v>
      </c>
      <c r="G45" s="285">
        <v>56494213.08</v>
      </c>
      <c r="H45" s="285">
        <v>1190343.81</v>
      </c>
      <c r="I45" s="285">
        <v>307997.69</v>
      </c>
    </row>
    <row r="46" spans="1:9" s="284" customFormat="1" ht="12.75">
      <c r="A46" s="283" t="s">
        <v>276</v>
      </c>
      <c r="B46" s="283">
        <v>22</v>
      </c>
      <c r="C46" s="283">
        <v>22</v>
      </c>
      <c r="D46" s="285">
        <v>37848893.629999995</v>
      </c>
      <c r="E46" s="285">
        <v>32893681.499999993</v>
      </c>
      <c r="F46" s="285">
        <f>SUM(G46:I46)</f>
        <v>32893681.499999993</v>
      </c>
      <c r="G46" s="285">
        <f>E46</f>
        <v>32893681.499999993</v>
      </c>
      <c r="H46" s="285">
        <v>0</v>
      </c>
      <c r="I46" s="285">
        <v>0</v>
      </c>
    </row>
    <row r="47" spans="1:9" s="284" customFormat="1" ht="12.75">
      <c r="A47" s="283" t="s">
        <v>278</v>
      </c>
      <c r="B47" s="283">
        <v>0</v>
      </c>
      <c r="C47" s="283">
        <v>0</v>
      </c>
      <c r="D47" s="286">
        <v>0</v>
      </c>
      <c r="E47" s="286">
        <v>0</v>
      </c>
      <c r="F47" s="285">
        <f>SUM(G47:I47)</f>
        <v>0</v>
      </c>
      <c r="G47" s="285">
        <v>0</v>
      </c>
      <c r="H47" s="285">
        <v>0</v>
      </c>
      <c r="I47" s="285">
        <v>0</v>
      </c>
    </row>
    <row r="48" spans="1:9" ht="12.75">
      <c r="A48" s="27" t="s">
        <v>314</v>
      </c>
      <c r="B48" s="471" t="s">
        <v>425</v>
      </c>
      <c r="C48" s="472"/>
      <c r="D48" s="472"/>
      <c r="E48" s="472"/>
      <c r="F48" s="472"/>
      <c r="G48" s="472"/>
      <c r="H48" s="472"/>
      <c r="I48" s="473"/>
    </row>
    <row r="50" spans="1:2" ht="12.75">
      <c r="A50" s="433" t="s">
        <v>309</v>
      </c>
      <c r="B50" s="433"/>
    </row>
    <row r="51" spans="1:2" ht="12.75">
      <c r="A51" s="474" t="s">
        <v>310</v>
      </c>
      <c r="B51" s="433"/>
    </row>
  </sheetData>
  <sheetProtection/>
  <mergeCells count="41">
    <mergeCell ref="B48:I48"/>
    <mergeCell ref="A50:B50"/>
    <mergeCell ref="A51:B51"/>
    <mergeCell ref="D37:D38"/>
    <mergeCell ref="E37:E38"/>
    <mergeCell ref="A40:I40"/>
    <mergeCell ref="A44:I44"/>
    <mergeCell ref="A35:A38"/>
    <mergeCell ref="B35:C36"/>
    <mergeCell ref="D35:E36"/>
    <mergeCell ref="F35:I35"/>
    <mergeCell ref="F36:F38"/>
    <mergeCell ref="G36:I36"/>
    <mergeCell ref="B37:B38"/>
    <mergeCell ref="C37:C38"/>
    <mergeCell ref="E18:F18"/>
    <mergeCell ref="G18:G20"/>
    <mergeCell ref="E19:E20"/>
    <mergeCell ref="F19:F20"/>
    <mergeCell ref="A31:I31"/>
    <mergeCell ref="A1:I1"/>
    <mergeCell ref="B5:I5"/>
    <mergeCell ref="B7:I7"/>
    <mergeCell ref="A9:I9"/>
    <mergeCell ref="A10:I10"/>
    <mergeCell ref="A28:I28"/>
    <mergeCell ref="B3:I3"/>
    <mergeCell ref="A16:I16"/>
    <mergeCell ref="A15:I15"/>
    <mergeCell ref="A32:I32"/>
    <mergeCell ref="B25:G25"/>
    <mergeCell ref="A26:G26"/>
    <mergeCell ref="C18:D18"/>
    <mergeCell ref="A30:I30"/>
    <mergeCell ref="A33:I33"/>
    <mergeCell ref="A12:I12"/>
    <mergeCell ref="A14:I14"/>
    <mergeCell ref="C19:C20"/>
    <mergeCell ref="D19:D20"/>
    <mergeCell ref="A18:A20"/>
    <mergeCell ref="B18:B20"/>
  </mergeCells>
  <printOptions/>
  <pageMargins left="0.75" right="0.75" top="1" bottom="1" header="0.5" footer="0.5"/>
  <pageSetup fitToHeight="2" horizontalDpi="600" verticalDpi="600" orientation="landscape" paperSize="9" scale="63" r:id="rId1"/>
  <rowBreaks count="1" manualBreakCount="1">
    <brk id="25"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F55"/>
  <sheetViews>
    <sheetView view="pageBreakPreview" zoomScaleSheetLayoutView="100" zoomScalePageLayoutView="0" workbookViewId="0" topLeftCell="A28">
      <selection activeCell="E10" sqref="E10:F10"/>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s>
  <sheetData>
    <row r="1" spans="1:3" ht="12.75">
      <c r="A1" s="88" t="s">
        <v>165</v>
      </c>
      <c r="B1" s="88"/>
      <c r="C1" s="88"/>
    </row>
    <row r="2" spans="1:3" ht="12.75">
      <c r="A2" s="88"/>
      <c r="B2" s="88"/>
      <c r="C2" s="88"/>
    </row>
    <row r="3" spans="1:6" ht="43.5" customHeight="1">
      <c r="A3" s="477" t="s">
        <v>290</v>
      </c>
      <c r="B3" s="478"/>
      <c r="C3" s="479" t="s">
        <v>407</v>
      </c>
      <c r="D3" s="480"/>
      <c r="E3" s="480"/>
      <c r="F3" s="480"/>
    </row>
    <row r="4" spans="1:3" ht="12.75">
      <c r="A4" s="88"/>
      <c r="B4" s="88"/>
      <c r="C4" s="88"/>
    </row>
    <row r="5" spans="1:6" ht="14.25">
      <c r="A5" s="482" t="s">
        <v>306</v>
      </c>
      <c r="B5" s="482"/>
      <c r="C5" s="462" t="s">
        <v>408</v>
      </c>
      <c r="D5" s="463"/>
      <c r="E5" s="463"/>
      <c r="F5" s="463"/>
    </row>
    <row r="6" spans="1:6" ht="14.25">
      <c r="A6" s="6"/>
      <c r="B6" s="5"/>
      <c r="C6" s="5"/>
      <c r="D6" s="5"/>
      <c r="E6" s="5"/>
      <c r="F6" s="5"/>
    </row>
    <row r="7" spans="1:6" ht="14.25">
      <c r="A7" s="482" t="s">
        <v>307</v>
      </c>
      <c r="B7" s="482"/>
      <c r="C7" s="462" t="s">
        <v>409</v>
      </c>
      <c r="D7" s="463"/>
      <c r="E7" s="463"/>
      <c r="F7" s="463"/>
    </row>
    <row r="8" spans="1:6" ht="14.25">
      <c r="A8" s="4"/>
      <c r="B8" s="24"/>
      <c r="C8" s="24"/>
      <c r="D8" s="24"/>
      <c r="E8" s="147"/>
      <c r="F8" s="146"/>
    </row>
    <row r="9" spans="3:6" ht="54.75" customHeight="1" thickBot="1">
      <c r="C9" s="502" t="s">
        <v>67</v>
      </c>
      <c r="D9" s="502"/>
      <c r="E9" s="503" t="s">
        <v>68</v>
      </c>
      <c r="F9" s="504"/>
    </row>
    <row r="10" spans="1:6" ht="13.5" customHeight="1" thickBot="1">
      <c r="A10" s="489" t="s">
        <v>69</v>
      </c>
      <c r="B10" s="490"/>
      <c r="C10" s="495" t="s">
        <v>70</v>
      </c>
      <c r="D10" s="496"/>
      <c r="E10" s="497" t="s">
        <v>71</v>
      </c>
      <c r="F10" s="498"/>
    </row>
    <row r="11" spans="1:6" ht="26.25" thickBot="1">
      <c r="A11" s="491"/>
      <c r="B11" s="492"/>
      <c r="C11" s="89" t="s">
        <v>72</v>
      </c>
      <c r="D11" s="90">
        <v>875</v>
      </c>
      <c r="E11" s="91"/>
      <c r="F11" s="92"/>
    </row>
    <row r="12" spans="1:6" ht="26.25" customHeight="1" thickBot="1">
      <c r="A12" s="491"/>
      <c r="B12" s="492"/>
      <c r="C12" s="93" t="s">
        <v>73</v>
      </c>
      <c r="D12" s="94">
        <v>236</v>
      </c>
      <c r="E12" s="95"/>
      <c r="F12" s="96"/>
    </row>
    <row r="13" spans="1:6" ht="33.75" customHeight="1" thickBot="1">
      <c r="A13" s="491"/>
      <c r="B13" s="492"/>
      <c r="C13" s="93" t="s">
        <v>74</v>
      </c>
      <c r="D13" s="90">
        <v>80</v>
      </c>
      <c r="E13" s="97" t="s">
        <v>75</v>
      </c>
      <c r="F13" s="90">
        <v>0</v>
      </c>
    </row>
    <row r="14" spans="1:6" ht="13.5" thickBot="1">
      <c r="A14" s="491"/>
      <c r="B14" s="492"/>
      <c r="C14" s="98" t="s">
        <v>76</v>
      </c>
      <c r="D14" s="99">
        <v>80</v>
      </c>
      <c r="E14" s="100" t="s">
        <v>77</v>
      </c>
      <c r="F14" s="101">
        <f>E16+F16</f>
        <v>0</v>
      </c>
    </row>
    <row r="15" spans="1:6" ht="12.75">
      <c r="A15" s="491"/>
      <c r="B15" s="492"/>
      <c r="C15" s="102" t="s">
        <v>78</v>
      </c>
      <c r="D15" s="103" t="s">
        <v>79</v>
      </c>
      <c r="E15" s="104" t="s">
        <v>78</v>
      </c>
      <c r="F15" s="105" t="s">
        <v>79</v>
      </c>
    </row>
    <row r="16" spans="1:6" ht="12.75" customHeight="1" thickBot="1">
      <c r="A16" s="491"/>
      <c r="B16" s="492"/>
      <c r="C16" s="106">
        <v>47</v>
      </c>
      <c r="D16" s="107">
        <v>33</v>
      </c>
      <c r="E16" s="108">
        <v>0</v>
      </c>
      <c r="F16" s="109">
        <v>0</v>
      </c>
    </row>
    <row r="17" spans="1:6" ht="18" customHeight="1" thickBot="1">
      <c r="A17" s="491"/>
      <c r="B17" s="492"/>
      <c r="C17" s="110" t="s">
        <v>80</v>
      </c>
      <c r="D17" s="111">
        <v>0</v>
      </c>
      <c r="E17" s="112" t="s">
        <v>80</v>
      </c>
      <c r="F17" s="90">
        <v>0</v>
      </c>
    </row>
    <row r="18" spans="1:6" ht="13.5" thickBot="1">
      <c r="A18" s="491"/>
      <c r="B18" s="492"/>
      <c r="C18" s="113" t="s">
        <v>81</v>
      </c>
      <c r="D18" s="90">
        <v>0</v>
      </c>
      <c r="E18" s="112" t="s">
        <v>81</v>
      </c>
      <c r="F18" s="90">
        <v>0</v>
      </c>
    </row>
    <row r="19" spans="1:6" ht="13.5" thickBot="1">
      <c r="A19" s="491"/>
      <c r="B19" s="492"/>
      <c r="C19" s="113" t="s">
        <v>82</v>
      </c>
      <c r="D19" s="90">
        <v>0</v>
      </c>
      <c r="E19" s="112" t="s">
        <v>82</v>
      </c>
      <c r="F19" s="90">
        <v>0</v>
      </c>
    </row>
    <row r="20" spans="1:6" ht="51.75" thickBot="1">
      <c r="A20" s="493"/>
      <c r="B20" s="494"/>
      <c r="C20" s="93" t="s">
        <v>83</v>
      </c>
      <c r="D20" s="114">
        <v>12</v>
      </c>
      <c r="E20" s="115" t="s">
        <v>84</v>
      </c>
      <c r="F20" s="94">
        <v>0</v>
      </c>
    </row>
    <row r="21" spans="1:6" ht="39" customHeight="1" thickBot="1">
      <c r="A21" s="483" t="s">
        <v>85</v>
      </c>
      <c r="B21" s="116"/>
      <c r="C21" s="89" t="s">
        <v>86</v>
      </c>
      <c r="D21" s="117">
        <v>725</v>
      </c>
      <c r="E21" s="91"/>
      <c r="F21" s="92"/>
    </row>
    <row r="22" spans="1:6" ht="64.5" thickBot="1">
      <c r="A22" s="484"/>
      <c r="B22" s="485" t="s">
        <v>87</v>
      </c>
      <c r="C22" s="89" t="s">
        <v>88</v>
      </c>
      <c r="D22" s="117">
        <v>343</v>
      </c>
      <c r="E22" s="95"/>
      <c r="F22" s="96"/>
    </row>
    <row r="23" spans="1:6" ht="80.25" customHeight="1" thickBot="1">
      <c r="A23" s="484"/>
      <c r="B23" s="486"/>
      <c r="C23" s="89" t="s">
        <v>89</v>
      </c>
      <c r="D23" s="90">
        <v>48</v>
      </c>
      <c r="E23" s="118" t="s">
        <v>90</v>
      </c>
      <c r="F23" s="111">
        <v>0</v>
      </c>
    </row>
    <row r="24" spans="1:6" ht="13.5" thickBot="1">
      <c r="A24" s="484"/>
      <c r="B24" s="486"/>
      <c r="C24" s="119" t="s">
        <v>91</v>
      </c>
      <c r="D24" s="120">
        <v>48</v>
      </c>
      <c r="E24" s="104" t="s">
        <v>92</v>
      </c>
      <c r="F24" s="121">
        <f>E26+F26</f>
        <v>0</v>
      </c>
    </row>
    <row r="25" spans="1:6" ht="12.75">
      <c r="A25" s="484"/>
      <c r="B25" s="486"/>
      <c r="C25" s="119" t="s">
        <v>93</v>
      </c>
      <c r="D25" s="122" t="s">
        <v>94</v>
      </c>
      <c r="E25" s="123" t="s">
        <v>93</v>
      </c>
      <c r="F25" s="105" t="s">
        <v>94</v>
      </c>
    </row>
    <row r="26" spans="1:6" ht="13.5" thickBot="1">
      <c r="A26" s="484"/>
      <c r="B26" s="486"/>
      <c r="C26" s="124">
        <v>2</v>
      </c>
      <c r="D26" s="125">
        <v>46</v>
      </c>
      <c r="E26" s="126">
        <v>0</v>
      </c>
      <c r="F26" s="109">
        <v>0</v>
      </c>
    </row>
    <row r="27" spans="1:6" ht="18.75" customHeight="1" thickBot="1">
      <c r="A27" s="484"/>
      <c r="B27" s="486"/>
      <c r="C27" s="118" t="s">
        <v>95</v>
      </c>
      <c r="D27" s="127">
        <v>0</v>
      </c>
      <c r="E27" s="112" t="s">
        <v>96</v>
      </c>
      <c r="F27" s="90">
        <v>0</v>
      </c>
    </row>
    <row r="28" spans="1:6" ht="13.5" thickBot="1">
      <c r="A28" s="484"/>
      <c r="B28" s="486"/>
      <c r="C28" s="128" t="s">
        <v>97</v>
      </c>
      <c r="D28" s="127">
        <v>0</v>
      </c>
      <c r="E28" s="112" t="s">
        <v>97</v>
      </c>
      <c r="F28" s="90">
        <v>0</v>
      </c>
    </row>
    <row r="29" spans="1:6" ht="13.5" thickBot="1">
      <c r="A29" s="484"/>
      <c r="B29" s="486"/>
      <c r="C29" s="128" t="s">
        <v>98</v>
      </c>
      <c r="D29" s="127">
        <v>0</v>
      </c>
      <c r="E29" s="112" t="s">
        <v>98</v>
      </c>
      <c r="F29" s="90">
        <v>0</v>
      </c>
    </row>
    <row r="30" spans="1:6" ht="64.5" thickBot="1">
      <c r="A30" s="484"/>
      <c r="B30" s="487"/>
      <c r="C30" s="89" t="s">
        <v>99</v>
      </c>
      <c r="D30" s="127">
        <v>0</v>
      </c>
      <c r="E30" s="97" t="s">
        <v>100</v>
      </c>
      <c r="F30" s="90">
        <v>0</v>
      </c>
    </row>
    <row r="31" spans="1:6" ht="83.25" customHeight="1" thickBot="1">
      <c r="A31" s="484"/>
      <c r="B31" s="499" t="s">
        <v>101</v>
      </c>
      <c r="C31" s="89" t="s">
        <v>102</v>
      </c>
      <c r="D31" s="90">
        <v>187</v>
      </c>
      <c r="E31" s="129"/>
      <c r="F31" s="130"/>
    </row>
    <row r="32" spans="1:6" ht="77.25" thickBot="1">
      <c r="A32" s="484"/>
      <c r="B32" s="500"/>
      <c r="C32" s="131" t="s">
        <v>103</v>
      </c>
      <c r="D32" s="132">
        <v>10</v>
      </c>
      <c r="E32" s="133" t="s">
        <v>104</v>
      </c>
      <c r="F32" s="90">
        <v>0</v>
      </c>
    </row>
    <row r="33" spans="1:6" ht="13.5" thickBot="1">
      <c r="A33" s="484"/>
      <c r="B33" s="500"/>
      <c r="C33" s="102" t="s">
        <v>105</v>
      </c>
      <c r="D33" s="120">
        <v>10</v>
      </c>
      <c r="E33" s="134" t="s">
        <v>106</v>
      </c>
      <c r="F33" s="101">
        <f>E35+F35</f>
        <v>0</v>
      </c>
    </row>
    <row r="34" spans="1:6" ht="12.75">
      <c r="A34" s="484"/>
      <c r="B34" s="500"/>
      <c r="C34" s="135" t="s">
        <v>107</v>
      </c>
      <c r="D34" s="136" t="s">
        <v>108</v>
      </c>
      <c r="E34" s="137" t="s">
        <v>109</v>
      </c>
      <c r="F34" s="121" t="s">
        <v>110</v>
      </c>
    </row>
    <row r="35" spans="1:6" ht="13.5" thickBot="1">
      <c r="A35" s="484"/>
      <c r="B35" s="500"/>
      <c r="C35" s="138">
        <v>3</v>
      </c>
      <c r="D35" s="139">
        <v>7</v>
      </c>
      <c r="E35" s="108">
        <v>0</v>
      </c>
      <c r="F35" s="109">
        <v>0</v>
      </c>
    </row>
    <row r="36" spans="1:6" ht="12" customHeight="1" thickBot="1">
      <c r="A36" s="484"/>
      <c r="B36" s="500"/>
      <c r="C36" s="128" t="s">
        <v>111</v>
      </c>
      <c r="D36" s="90">
        <v>0</v>
      </c>
      <c r="E36" s="112" t="s">
        <v>112</v>
      </c>
      <c r="F36" s="90">
        <v>0</v>
      </c>
    </row>
    <row r="37" spans="1:6" ht="13.5" thickBot="1">
      <c r="A37" s="484"/>
      <c r="B37" s="500"/>
      <c r="C37" s="128" t="s">
        <v>113</v>
      </c>
      <c r="D37" s="90">
        <v>0</v>
      </c>
      <c r="E37" s="112" t="s">
        <v>113</v>
      </c>
      <c r="F37" s="90">
        <v>0</v>
      </c>
    </row>
    <row r="38" spans="1:6" ht="13.5" thickBot="1">
      <c r="A38" s="484"/>
      <c r="B38" s="500"/>
      <c r="C38" s="128" t="s">
        <v>114</v>
      </c>
      <c r="D38" s="90">
        <v>0</v>
      </c>
      <c r="E38" s="112" t="s">
        <v>114</v>
      </c>
      <c r="F38" s="90">
        <v>0</v>
      </c>
    </row>
    <row r="39" spans="1:6" ht="64.5" thickBot="1">
      <c r="A39" s="484"/>
      <c r="B39" s="501"/>
      <c r="C39" s="140" t="s">
        <v>115</v>
      </c>
      <c r="D39" s="94">
        <v>0</v>
      </c>
      <c r="E39" s="140" t="s">
        <v>116</v>
      </c>
      <c r="F39" s="94">
        <v>0</v>
      </c>
    </row>
    <row r="40" spans="1:6" ht="69" customHeight="1" thickBot="1">
      <c r="A40" s="505" t="s">
        <v>117</v>
      </c>
      <c r="B40" s="141" t="s">
        <v>118</v>
      </c>
      <c r="C40" s="142" t="s">
        <v>119</v>
      </c>
      <c r="D40" s="90">
        <v>10</v>
      </c>
      <c r="E40" s="89" t="s">
        <v>120</v>
      </c>
      <c r="F40" s="90">
        <v>0</v>
      </c>
    </row>
    <row r="41" spans="1:6" ht="38.25" customHeight="1" thickBot="1">
      <c r="A41" s="506"/>
      <c r="B41" s="508" t="s">
        <v>121</v>
      </c>
      <c r="C41" s="143"/>
      <c r="D41" s="92"/>
      <c r="E41" s="144" t="s">
        <v>180</v>
      </c>
      <c r="F41" s="90">
        <v>0</v>
      </c>
    </row>
    <row r="42" spans="1:6" ht="54" customHeight="1" thickBot="1">
      <c r="A42" s="507"/>
      <c r="B42" s="509"/>
      <c r="C42" s="145"/>
      <c r="D42" s="96"/>
      <c r="E42" s="144" t="s">
        <v>181</v>
      </c>
      <c r="F42" s="90">
        <v>0</v>
      </c>
    </row>
    <row r="43" ht="12.75">
      <c r="A43" s="2"/>
    </row>
    <row r="44" ht="12.75">
      <c r="A44" s="2" t="s">
        <v>182</v>
      </c>
    </row>
    <row r="45" spans="1:6" ht="12.75">
      <c r="A45" s="488" t="s">
        <v>122</v>
      </c>
      <c r="B45" s="488"/>
      <c r="C45" s="488"/>
      <c r="D45" s="488"/>
      <c r="E45" s="488"/>
      <c r="F45" s="488"/>
    </row>
    <row r="46" ht="12.75">
      <c r="A46" t="s">
        <v>183</v>
      </c>
    </row>
    <row r="47" ht="12.75">
      <c r="A47" t="s">
        <v>184</v>
      </c>
    </row>
    <row r="48" ht="12.75">
      <c r="A48" t="s">
        <v>185</v>
      </c>
    </row>
    <row r="49" ht="12.75">
      <c r="A49" t="s">
        <v>186</v>
      </c>
    </row>
    <row r="50" ht="12.75">
      <c r="A50" t="s">
        <v>187</v>
      </c>
    </row>
    <row r="51" ht="12.75">
      <c r="A51" t="s">
        <v>188</v>
      </c>
    </row>
    <row r="52" ht="12.75">
      <c r="A52" t="s">
        <v>189</v>
      </c>
    </row>
    <row r="53" ht="9.75" customHeight="1">
      <c r="A53" s="2"/>
    </row>
    <row r="54" spans="1:2" ht="12.75">
      <c r="A54" s="433" t="s">
        <v>309</v>
      </c>
      <c r="B54" s="433"/>
    </row>
    <row r="55" spans="1:3" ht="12.75" customHeight="1">
      <c r="A55" s="481" t="s">
        <v>310</v>
      </c>
      <c r="B55" s="481"/>
      <c r="C55" s="481"/>
    </row>
  </sheetData>
  <sheetProtection/>
  <mergeCells count="19">
    <mergeCell ref="A45:F45"/>
    <mergeCell ref="A10:B20"/>
    <mergeCell ref="C10:D10"/>
    <mergeCell ref="E10:F10"/>
    <mergeCell ref="B31:B39"/>
    <mergeCell ref="C9:D9"/>
    <mergeCell ref="E9:F9"/>
    <mergeCell ref="A40:A42"/>
    <mergeCell ref="B41:B42"/>
    <mergeCell ref="A3:B3"/>
    <mergeCell ref="C3:F3"/>
    <mergeCell ref="A54:B54"/>
    <mergeCell ref="A55:C55"/>
    <mergeCell ref="C5:F5"/>
    <mergeCell ref="C7:F7"/>
    <mergeCell ref="A5:B5"/>
    <mergeCell ref="A7:B7"/>
    <mergeCell ref="A21:A39"/>
    <mergeCell ref="B22:B30"/>
  </mergeCells>
  <printOptions/>
  <pageMargins left="0.5905511811023623" right="0.5905511811023623" top="0.5905511811023623" bottom="0.5905511811023623" header="0.5118110236220472" footer="0.5118110236220472"/>
  <pageSetup fitToHeight="3" fitToWidth="1" horizontalDpi="300" verticalDpi="300" orientation="portrait" paperSize="9" scale="56" r:id="rId1"/>
  <rowBreaks count="1" manualBreakCount="1">
    <brk id="2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N43"/>
  <sheetViews>
    <sheetView view="pageBreakPreview" zoomScale="85" zoomScaleSheetLayoutView="85" zoomScalePageLayoutView="0" workbookViewId="0" topLeftCell="A13">
      <selection activeCell="P35" sqref="P35"/>
    </sheetView>
  </sheetViews>
  <sheetFormatPr defaultColWidth="9.140625" defaultRowHeight="12.75"/>
  <cols>
    <col min="1" max="1" width="4.28125" style="149" customWidth="1"/>
    <col min="2" max="2" width="48.140625" style="149" customWidth="1"/>
    <col min="3" max="5" width="10.00390625" style="149" customWidth="1"/>
    <col min="6" max="8" width="11.7109375" style="149" customWidth="1"/>
    <col min="9" max="10" width="12.28125" style="149" bestFit="1" customWidth="1"/>
    <col min="11" max="11" width="12.140625" style="149" customWidth="1"/>
    <col min="12" max="16384" width="9.140625" style="149" customWidth="1"/>
  </cols>
  <sheetData>
    <row r="1" spans="1:14" ht="18.75" customHeight="1">
      <c r="A1" s="515" t="s">
        <v>156</v>
      </c>
      <c r="B1" s="515"/>
      <c r="C1" s="515"/>
      <c r="D1" s="515"/>
      <c r="E1" s="515"/>
      <c r="F1" s="515"/>
      <c r="G1" s="515"/>
      <c r="H1" s="515"/>
      <c r="I1" s="515"/>
      <c r="J1" s="515"/>
      <c r="K1" s="515"/>
      <c r="L1" s="148"/>
      <c r="M1" s="148"/>
      <c r="N1" s="148"/>
    </row>
    <row r="2" spans="1:14" ht="12.75">
      <c r="A2" s="158"/>
      <c r="B2" s="158"/>
      <c r="C2" s="158"/>
      <c r="D2" s="158"/>
      <c r="E2" s="158"/>
      <c r="F2" s="158"/>
      <c r="G2" s="158"/>
      <c r="H2" s="158"/>
      <c r="I2" s="158"/>
      <c r="J2" s="158"/>
      <c r="K2" s="158"/>
      <c r="L2" s="148"/>
      <c r="M2" s="148"/>
      <c r="N2" s="148"/>
    </row>
    <row r="3" spans="1:14" ht="57.75" customHeight="1">
      <c r="A3" s="524" t="s">
        <v>290</v>
      </c>
      <c r="B3" s="524"/>
      <c r="C3" s="520" t="s">
        <v>407</v>
      </c>
      <c r="D3" s="520"/>
      <c r="E3" s="520"/>
      <c r="F3" s="520"/>
      <c r="G3" s="520"/>
      <c r="H3" s="520"/>
      <c r="I3" s="520"/>
      <c r="J3" s="520"/>
      <c r="K3" s="520"/>
      <c r="L3" s="148"/>
      <c r="M3" s="148"/>
      <c r="N3" s="148"/>
    </row>
    <row r="4" spans="1:14" ht="14.25">
      <c r="A4" s="6"/>
      <c r="B4" s="6"/>
      <c r="C4" s="158"/>
      <c r="D4" s="158"/>
      <c r="E4" s="158"/>
      <c r="F4" s="158"/>
      <c r="G4" s="158"/>
      <c r="H4" s="158"/>
      <c r="I4" s="158"/>
      <c r="J4" s="158"/>
      <c r="K4" s="158"/>
      <c r="L4" s="148"/>
      <c r="M4" s="148"/>
      <c r="N4" s="148"/>
    </row>
    <row r="5" spans="1:14" ht="18.75" customHeight="1">
      <c r="A5" s="525" t="s">
        <v>306</v>
      </c>
      <c r="B5" s="525"/>
      <c r="C5" s="520" t="s">
        <v>408</v>
      </c>
      <c r="D5" s="520"/>
      <c r="E5" s="520"/>
      <c r="F5" s="520"/>
      <c r="G5" s="520"/>
      <c r="H5" s="520"/>
      <c r="I5" s="520"/>
      <c r="J5" s="520"/>
      <c r="K5" s="520"/>
      <c r="L5" s="148"/>
      <c r="M5" s="148"/>
      <c r="N5" s="148"/>
    </row>
    <row r="6" spans="1:14" ht="14.25">
      <c r="A6" s="6"/>
      <c r="B6" s="6"/>
      <c r="C6" s="158"/>
      <c r="D6" s="158"/>
      <c r="E6" s="158"/>
      <c r="F6" s="158"/>
      <c r="G6" s="158"/>
      <c r="H6" s="158"/>
      <c r="I6" s="158"/>
      <c r="J6" s="158"/>
      <c r="K6" s="158"/>
      <c r="L6" s="148"/>
      <c r="M6" s="148"/>
      <c r="N6" s="148"/>
    </row>
    <row r="7" spans="1:14" ht="18.75" customHeight="1">
      <c r="A7" s="525" t="s">
        <v>307</v>
      </c>
      <c r="B7" s="525"/>
      <c r="C7" s="520" t="s">
        <v>409</v>
      </c>
      <c r="D7" s="520"/>
      <c r="E7" s="520"/>
      <c r="F7" s="520"/>
      <c r="G7" s="520"/>
      <c r="H7" s="520"/>
      <c r="I7" s="520"/>
      <c r="J7" s="520"/>
      <c r="K7" s="520"/>
      <c r="L7" s="148"/>
      <c r="M7" s="148"/>
      <c r="N7" s="148"/>
    </row>
    <row r="8" spans="1:14" ht="12.75">
      <c r="A8" s="158"/>
      <c r="B8" s="158"/>
      <c r="C8" s="158"/>
      <c r="D8" s="158"/>
      <c r="E8" s="158"/>
      <c r="F8" s="158"/>
      <c r="G8" s="158"/>
      <c r="H8" s="158"/>
      <c r="I8" s="158"/>
      <c r="J8" s="158"/>
      <c r="K8" s="158"/>
      <c r="L8" s="148"/>
      <c r="M8" s="148"/>
      <c r="N8" s="148"/>
    </row>
    <row r="9" spans="1:13" ht="17.25" customHeight="1">
      <c r="A9" s="521" t="s">
        <v>55</v>
      </c>
      <c r="B9" s="521"/>
      <c r="C9" s="521"/>
      <c r="D9" s="521"/>
      <c r="E9" s="521"/>
      <c r="F9" s="521"/>
      <c r="G9" s="521"/>
      <c r="H9" s="521"/>
      <c r="I9" s="521"/>
      <c r="J9" s="521"/>
      <c r="K9" s="521"/>
      <c r="L9" s="160"/>
      <c r="M9" s="160"/>
    </row>
    <row r="10" spans="1:11" ht="15" customHeight="1">
      <c r="A10" s="523" t="s">
        <v>60</v>
      </c>
      <c r="B10" s="523"/>
      <c r="C10" s="523"/>
      <c r="D10" s="523"/>
      <c r="E10" s="523"/>
      <c r="F10" s="523"/>
      <c r="G10" s="523"/>
      <c r="H10" s="523"/>
      <c r="I10" s="523"/>
      <c r="J10" s="523"/>
      <c r="K10" s="523"/>
    </row>
    <row r="11" spans="1:11" ht="52.5" customHeight="1">
      <c r="A11" s="522" t="s">
        <v>384</v>
      </c>
      <c r="B11" s="522"/>
      <c r="C11" s="522"/>
      <c r="D11" s="522"/>
      <c r="E11" s="522"/>
      <c r="F11" s="522"/>
      <c r="G11" s="522"/>
      <c r="H11" s="522"/>
      <c r="I11" s="522"/>
      <c r="J11" s="522"/>
      <c r="K11" s="522"/>
    </row>
    <row r="12" spans="1:11" ht="46.5" customHeight="1">
      <c r="A12" s="522" t="s">
        <v>36</v>
      </c>
      <c r="B12" s="522"/>
      <c r="C12" s="522"/>
      <c r="D12" s="522"/>
      <c r="E12" s="522"/>
      <c r="F12" s="522"/>
      <c r="G12" s="522"/>
      <c r="H12" s="522"/>
      <c r="I12" s="522"/>
      <c r="J12" s="522"/>
      <c r="K12" s="522"/>
    </row>
    <row r="13" ht="15" customHeight="1"/>
    <row r="14" spans="1:11" s="148" customFormat="1" ht="51" customHeight="1">
      <c r="A14" s="519" t="s">
        <v>321</v>
      </c>
      <c r="B14" s="519" t="s">
        <v>167</v>
      </c>
      <c r="C14" s="519" t="s">
        <v>53</v>
      </c>
      <c r="D14" s="519"/>
      <c r="E14" s="519"/>
      <c r="F14" s="519" t="s">
        <v>168</v>
      </c>
      <c r="G14" s="519"/>
      <c r="H14" s="519"/>
      <c r="I14" s="519" t="s">
        <v>144</v>
      </c>
      <c r="J14" s="519"/>
      <c r="K14" s="519"/>
    </row>
    <row r="15" spans="1:11" s="148" customFormat="1" ht="18" customHeight="1">
      <c r="A15" s="519"/>
      <c r="B15" s="519"/>
      <c r="C15" s="150" t="s">
        <v>312</v>
      </c>
      <c r="D15" s="150" t="s">
        <v>313</v>
      </c>
      <c r="E15" s="150" t="s">
        <v>308</v>
      </c>
      <c r="F15" s="150" t="s">
        <v>312</v>
      </c>
      <c r="G15" s="150" t="s">
        <v>313</v>
      </c>
      <c r="H15" s="150" t="s">
        <v>308</v>
      </c>
      <c r="I15" s="150" t="s">
        <v>312</v>
      </c>
      <c r="J15" s="150" t="s">
        <v>313</v>
      </c>
      <c r="K15" s="150" t="s">
        <v>308</v>
      </c>
    </row>
    <row r="16" spans="1:11" s="148" customFormat="1" ht="15.75" customHeight="1">
      <c r="A16" s="151">
        <v>1</v>
      </c>
      <c r="B16" s="151">
        <v>2</v>
      </c>
      <c r="C16" s="151">
        <v>3</v>
      </c>
      <c r="D16" s="151">
        <v>4</v>
      </c>
      <c r="E16" s="151" t="s">
        <v>57</v>
      </c>
      <c r="F16" s="151">
        <v>6</v>
      </c>
      <c r="G16" s="151">
        <v>7</v>
      </c>
      <c r="H16" s="151" t="s">
        <v>58</v>
      </c>
      <c r="I16" s="151" t="s">
        <v>59</v>
      </c>
      <c r="J16" s="151" t="s">
        <v>169</v>
      </c>
      <c r="K16" s="151" t="s">
        <v>170</v>
      </c>
    </row>
    <row r="17" spans="1:11" ht="20.25" customHeight="1">
      <c r="A17" s="512" t="s">
        <v>334</v>
      </c>
      <c r="B17" s="512"/>
      <c r="C17" s="512"/>
      <c r="D17" s="512"/>
      <c r="E17" s="512"/>
      <c r="F17" s="512"/>
      <c r="G17" s="512"/>
      <c r="H17" s="512"/>
      <c r="I17" s="512"/>
      <c r="J17" s="512"/>
      <c r="K17" s="512"/>
    </row>
    <row r="18" spans="1:11" ht="20.25" customHeight="1">
      <c r="A18" s="511" t="s">
        <v>246</v>
      </c>
      <c r="B18" s="511"/>
      <c r="C18" s="511"/>
      <c r="D18" s="511"/>
      <c r="E18" s="511"/>
      <c r="F18" s="511"/>
      <c r="G18" s="511"/>
      <c r="H18" s="511"/>
      <c r="I18" s="511"/>
      <c r="J18" s="511"/>
      <c r="K18" s="511"/>
    </row>
    <row r="19" spans="1:11" ht="20.25" customHeight="1">
      <c r="A19" s="152">
        <v>1</v>
      </c>
      <c r="B19" s="153" t="s">
        <v>174</v>
      </c>
      <c r="C19" s="154"/>
      <c r="D19" s="154"/>
      <c r="E19" s="154"/>
      <c r="F19" s="154"/>
      <c r="G19" s="154"/>
      <c r="H19" s="154"/>
      <c r="I19" s="155"/>
      <c r="J19" s="155"/>
      <c r="K19" s="155"/>
    </row>
    <row r="20" spans="1:11" ht="20.25" customHeight="1">
      <c r="A20" s="512" t="s">
        <v>347</v>
      </c>
      <c r="B20" s="512"/>
      <c r="C20" s="512"/>
      <c r="D20" s="512"/>
      <c r="E20" s="512"/>
      <c r="F20" s="512"/>
      <c r="G20" s="512"/>
      <c r="H20" s="512"/>
      <c r="I20" s="512"/>
      <c r="J20" s="512"/>
      <c r="K20" s="512"/>
    </row>
    <row r="21" spans="1:11" ht="20.25" customHeight="1">
      <c r="A21" s="511" t="s">
        <v>266</v>
      </c>
      <c r="B21" s="511"/>
      <c r="C21" s="511"/>
      <c r="D21" s="511"/>
      <c r="E21" s="511"/>
      <c r="F21" s="511"/>
      <c r="G21" s="511"/>
      <c r="H21" s="511"/>
      <c r="I21" s="511"/>
      <c r="J21" s="511"/>
      <c r="K21" s="511"/>
    </row>
    <row r="22" spans="1:11" ht="20.25" customHeight="1">
      <c r="A22" s="152">
        <v>1</v>
      </c>
      <c r="B22" s="153" t="s">
        <v>171</v>
      </c>
      <c r="C22" s="287">
        <v>660</v>
      </c>
      <c r="D22" s="287">
        <v>552</v>
      </c>
      <c r="E22" s="289">
        <f aca="true" t="shared" si="0" ref="E22:E27">SUM(C22:D22)</f>
        <v>1212</v>
      </c>
      <c r="F22" s="287">
        <v>476</v>
      </c>
      <c r="G22" s="287">
        <v>437</v>
      </c>
      <c r="H22" s="289">
        <f aca="true" t="shared" si="1" ref="H22:H27">SUM(F22:G22)</f>
        <v>913</v>
      </c>
      <c r="I22" s="288">
        <f aca="true" t="shared" si="2" ref="I22:I27">F22/C22</f>
        <v>0.7212121212121212</v>
      </c>
      <c r="J22" s="288">
        <f aca="true" t="shared" si="3" ref="J22:K27">G22/D22</f>
        <v>0.7916666666666666</v>
      </c>
      <c r="K22" s="288">
        <f t="shared" si="3"/>
        <v>0.7533003300330033</v>
      </c>
    </row>
    <row r="23" spans="1:11" ht="32.25" customHeight="1">
      <c r="A23" s="152">
        <v>2</v>
      </c>
      <c r="B23" s="153" t="s">
        <v>172</v>
      </c>
      <c r="C23" s="287">
        <v>104</v>
      </c>
      <c r="D23" s="287">
        <v>85</v>
      </c>
      <c r="E23" s="289">
        <f t="shared" si="0"/>
        <v>189</v>
      </c>
      <c r="F23" s="287">
        <v>85</v>
      </c>
      <c r="G23" s="287">
        <v>81</v>
      </c>
      <c r="H23" s="289">
        <f t="shared" si="1"/>
        <v>166</v>
      </c>
      <c r="I23" s="288">
        <f t="shared" si="2"/>
        <v>0.8173076923076923</v>
      </c>
      <c r="J23" s="288">
        <f t="shared" si="3"/>
        <v>0.9529411764705882</v>
      </c>
      <c r="K23" s="288">
        <f t="shared" si="3"/>
        <v>0.8783068783068783</v>
      </c>
    </row>
    <row r="24" spans="1:11" ht="20.25" customHeight="1">
      <c r="A24" s="152">
        <v>3</v>
      </c>
      <c r="B24" s="153" t="s">
        <v>0</v>
      </c>
      <c r="C24" s="287">
        <v>286</v>
      </c>
      <c r="D24" s="287">
        <v>247</v>
      </c>
      <c r="E24" s="289">
        <f t="shared" si="0"/>
        <v>533</v>
      </c>
      <c r="F24" s="287">
        <v>218</v>
      </c>
      <c r="G24" s="287">
        <v>179</v>
      </c>
      <c r="H24" s="289">
        <f t="shared" si="1"/>
        <v>397</v>
      </c>
      <c r="I24" s="288">
        <f t="shared" si="2"/>
        <v>0.7622377622377622</v>
      </c>
      <c r="J24" s="288">
        <f t="shared" si="3"/>
        <v>0.7246963562753036</v>
      </c>
      <c r="K24" s="288">
        <f t="shared" si="3"/>
        <v>0.7448405253283302</v>
      </c>
    </row>
    <row r="25" spans="1:11" ht="20.25" customHeight="1">
      <c r="A25" s="152">
        <v>4</v>
      </c>
      <c r="B25" s="153" t="s">
        <v>173</v>
      </c>
      <c r="C25" s="287">
        <v>67</v>
      </c>
      <c r="D25" s="287">
        <v>69</v>
      </c>
      <c r="E25" s="289">
        <f t="shared" si="0"/>
        <v>136</v>
      </c>
      <c r="F25" s="287">
        <v>40</v>
      </c>
      <c r="G25" s="287">
        <v>53</v>
      </c>
      <c r="H25" s="289">
        <f t="shared" si="1"/>
        <v>93</v>
      </c>
      <c r="I25" s="288">
        <f t="shared" si="2"/>
        <v>0.5970149253731343</v>
      </c>
      <c r="J25" s="288">
        <f t="shared" si="3"/>
        <v>0.7681159420289855</v>
      </c>
      <c r="K25" s="288">
        <f t="shared" si="3"/>
        <v>0.6838235294117647</v>
      </c>
    </row>
    <row r="26" spans="1:11" ht="20.25" customHeight="1">
      <c r="A26" s="152">
        <v>5</v>
      </c>
      <c r="B26" s="153" t="s">
        <v>332</v>
      </c>
      <c r="C26" s="287">
        <v>74</v>
      </c>
      <c r="D26" s="287">
        <v>38</v>
      </c>
      <c r="E26" s="289">
        <f t="shared" si="0"/>
        <v>112</v>
      </c>
      <c r="F26" s="287">
        <v>44</v>
      </c>
      <c r="G26" s="287">
        <v>22</v>
      </c>
      <c r="H26" s="289">
        <f t="shared" si="1"/>
        <v>66</v>
      </c>
      <c r="I26" s="288">
        <f t="shared" si="2"/>
        <v>0.5945945945945946</v>
      </c>
      <c r="J26" s="288">
        <f t="shared" si="3"/>
        <v>0.5789473684210527</v>
      </c>
      <c r="K26" s="288">
        <f t="shared" si="3"/>
        <v>0.5892857142857143</v>
      </c>
    </row>
    <row r="27" spans="1:11" ht="20.25" customHeight="1">
      <c r="A27" s="152">
        <v>6</v>
      </c>
      <c r="B27" s="153" t="s">
        <v>324</v>
      </c>
      <c r="C27" s="287">
        <v>279</v>
      </c>
      <c r="D27" s="287">
        <v>199</v>
      </c>
      <c r="E27" s="289">
        <f t="shared" si="0"/>
        <v>478</v>
      </c>
      <c r="F27" s="287">
        <v>192</v>
      </c>
      <c r="G27" s="287">
        <v>157</v>
      </c>
      <c r="H27" s="289">
        <f t="shared" si="1"/>
        <v>349</v>
      </c>
      <c r="I27" s="288">
        <f t="shared" si="2"/>
        <v>0.6881720430107527</v>
      </c>
      <c r="J27" s="288">
        <f t="shared" si="3"/>
        <v>0.7889447236180904</v>
      </c>
      <c r="K27" s="288">
        <f t="shared" si="3"/>
        <v>0.7301255230125523</v>
      </c>
    </row>
    <row r="28" spans="1:11" ht="20.25" customHeight="1">
      <c r="A28" s="512" t="s">
        <v>349</v>
      </c>
      <c r="B28" s="512"/>
      <c r="C28" s="512"/>
      <c r="D28" s="512"/>
      <c r="E28" s="512"/>
      <c r="F28" s="512"/>
      <c r="G28" s="512"/>
      <c r="H28" s="512"/>
      <c r="I28" s="512"/>
      <c r="J28" s="512"/>
      <c r="K28" s="512"/>
    </row>
    <row r="29" spans="1:11" ht="20.25" customHeight="1">
      <c r="A29" s="511" t="s">
        <v>280</v>
      </c>
      <c r="B29" s="511"/>
      <c r="C29" s="511"/>
      <c r="D29" s="511"/>
      <c r="E29" s="511"/>
      <c r="F29" s="511"/>
      <c r="G29" s="511"/>
      <c r="H29" s="511"/>
      <c r="I29" s="511"/>
      <c r="J29" s="511"/>
      <c r="K29" s="511"/>
    </row>
    <row r="30" spans="1:11" ht="20.25" customHeight="1">
      <c r="A30" s="152">
        <v>1</v>
      </c>
      <c r="B30" s="153" t="s">
        <v>174</v>
      </c>
      <c r="C30" s="154"/>
      <c r="D30" s="154"/>
      <c r="E30" s="154"/>
      <c r="F30" s="154"/>
      <c r="G30" s="154"/>
      <c r="H30" s="154"/>
      <c r="I30" s="155"/>
      <c r="J30" s="155"/>
      <c r="K30" s="155"/>
    </row>
    <row r="31" spans="1:11" ht="20.25" customHeight="1">
      <c r="A31" s="511" t="s">
        <v>161</v>
      </c>
      <c r="B31" s="511"/>
      <c r="C31" s="511"/>
      <c r="D31" s="511"/>
      <c r="E31" s="511"/>
      <c r="F31" s="511"/>
      <c r="G31" s="511"/>
      <c r="H31" s="511"/>
      <c r="I31" s="511"/>
      <c r="J31" s="511"/>
      <c r="K31" s="511"/>
    </row>
    <row r="32" spans="1:11" ht="20.25" customHeight="1">
      <c r="A32" s="152">
        <v>1</v>
      </c>
      <c r="B32" s="153" t="s">
        <v>174</v>
      </c>
      <c r="C32" s="154"/>
      <c r="D32" s="154"/>
      <c r="E32" s="154"/>
      <c r="F32" s="154"/>
      <c r="G32" s="154"/>
      <c r="H32" s="154"/>
      <c r="I32" s="155"/>
      <c r="J32" s="155"/>
      <c r="K32" s="155"/>
    </row>
    <row r="33" spans="1:11" ht="20.25" customHeight="1">
      <c r="A33" s="512" t="s">
        <v>351</v>
      </c>
      <c r="B33" s="512"/>
      <c r="C33" s="512"/>
      <c r="D33" s="512"/>
      <c r="E33" s="512"/>
      <c r="F33" s="512"/>
      <c r="G33" s="512"/>
      <c r="H33" s="512"/>
      <c r="I33" s="512"/>
      <c r="J33" s="512"/>
      <c r="K33" s="512"/>
    </row>
    <row r="34" spans="1:11" ht="20.25" customHeight="1">
      <c r="A34" s="511" t="s">
        <v>283</v>
      </c>
      <c r="B34" s="511"/>
      <c r="C34" s="511"/>
      <c r="D34" s="511"/>
      <c r="E34" s="511"/>
      <c r="F34" s="511"/>
      <c r="G34" s="511"/>
      <c r="H34" s="511"/>
      <c r="I34" s="511"/>
      <c r="J34" s="511"/>
      <c r="K34" s="511"/>
    </row>
    <row r="35" spans="1:11" ht="20.25" customHeight="1">
      <c r="A35" s="152">
        <v>1</v>
      </c>
      <c r="B35" s="153" t="s">
        <v>127</v>
      </c>
      <c r="C35" s="154"/>
      <c r="D35" s="154"/>
      <c r="E35" s="154"/>
      <c r="F35" s="154"/>
      <c r="G35" s="154"/>
      <c r="H35" s="154"/>
      <c r="I35" s="155"/>
      <c r="J35" s="155"/>
      <c r="K35" s="155"/>
    </row>
    <row r="36" spans="1:11" s="157" customFormat="1" ht="24" customHeight="1">
      <c r="A36" s="518" t="s">
        <v>61</v>
      </c>
      <c r="B36" s="518"/>
      <c r="C36" s="518"/>
      <c r="D36" s="518"/>
      <c r="E36" s="518"/>
      <c r="F36" s="518"/>
      <c r="G36" s="518"/>
      <c r="H36" s="518"/>
      <c r="I36" s="518"/>
      <c r="J36" s="518"/>
      <c r="K36" s="518"/>
    </row>
    <row r="37" spans="1:11" ht="20.25" customHeight="1">
      <c r="A37" s="152" t="s">
        <v>300</v>
      </c>
      <c r="B37" s="152" t="s">
        <v>212</v>
      </c>
      <c r="C37" s="154"/>
      <c r="D37" s="154"/>
      <c r="E37" s="154"/>
      <c r="F37" s="154"/>
      <c r="G37" s="154"/>
      <c r="H37" s="154"/>
      <c r="I37" s="154"/>
      <c r="J37" s="155"/>
      <c r="K37" s="155"/>
    </row>
    <row r="38" spans="1:11" ht="20.25" customHeight="1">
      <c r="A38" s="516" t="s">
        <v>314</v>
      </c>
      <c r="B38" s="516"/>
      <c r="C38" s="517"/>
      <c r="D38" s="517"/>
      <c r="E38" s="517"/>
      <c r="F38" s="517"/>
      <c r="G38" s="517"/>
      <c r="H38" s="517"/>
      <c r="I38" s="517"/>
      <c r="J38" s="517"/>
      <c r="K38" s="517"/>
    </row>
    <row r="39" spans="1:11" ht="12.75">
      <c r="A39" s="510" t="s">
        <v>128</v>
      </c>
      <c r="B39" s="510"/>
      <c r="C39" s="510"/>
      <c r="D39" s="510"/>
      <c r="E39" s="510"/>
      <c r="F39" s="510"/>
      <c r="G39" s="510"/>
      <c r="H39" s="510"/>
      <c r="I39" s="510"/>
      <c r="J39" s="510"/>
      <c r="K39" s="510"/>
    </row>
    <row r="40" spans="1:11" ht="27" customHeight="1">
      <c r="A40" s="515" t="s">
        <v>129</v>
      </c>
      <c r="B40" s="515"/>
      <c r="C40" s="515"/>
      <c r="D40" s="515"/>
      <c r="E40" s="515"/>
      <c r="F40" s="515"/>
      <c r="G40" s="515"/>
      <c r="H40" s="515"/>
      <c r="I40" s="515"/>
      <c r="J40" s="515"/>
      <c r="K40" s="515"/>
    </row>
    <row r="42" spans="1:3" ht="12.75">
      <c r="A42" s="513" t="s">
        <v>309</v>
      </c>
      <c r="B42" s="513"/>
      <c r="C42"/>
    </row>
    <row r="43" spans="1:3" ht="12.75" customHeight="1">
      <c r="A43" s="514" t="s">
        <v>310</v>
      </c>
      <c r="B43" s="514"/>
      <c r="C43" s="159"/>
    </row>
  </sheetData>
  <sheetProtection/>
  <mergeCells count="32">
    <mergeCell ref="A1:K1"/>
    <mergeCell ref="A10:K10"/>
    <mergeCell ref="A11:K11"/>
    <mergeCell ref="A3:B3"/>
    <mergeCell ref="A5:B5"/>
    <mergeCell ref="A7:B7"/>
    <mergeCell ref="C3:K3"/>
    <mergeCell ref="A9:K9"/>
    <mergeCell ref="A12:K12"/>
    <mergeCell ref="A17:K17"/>
    <mergeCell ref="A18:K18"/>
    <mergeCell ref="A29:K29"/>
    <mergeCell ref="C5:K5"/>
    <mergeCell ref="C7:K7"/>
    <mergeCell ref="A14:A15"/>
    <mergeCell ref="A20:K20"/>
    <mergeCell ref="A36:K36"/>
    <mergeCell ref="F14:H14"/>
    <mergeCell ref="I14:K14"/>
    <mergeCell ref="B14:B15"/>
    <mergeCell ref="C14:E14"/>
    <mergeCell ref="A33:K33"/>
    <mergeCell ref="A39:K39"/>
    <mergeCell ref="A21:K21"/>
    <mergeCell ref="A28:K28"/>
    <mergeCell ref="A42:B42"/>
    <mergeCell ref="A43:B43"/>
    <mergeCell ref="A40:K40"/>
    <mergeCell ref="A38:B38"/>
    <mergeCell ref="C38:K38"/>
    <mergeCell ref="A34:K34"/>
    <mergeCell ref="A31:K31"/>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Działania_załączniki</dc:title>
  <dc:subject/>
  <dc:creator>Dorota Domańska</dc:creator>
  <cp:keywords/>
  <dc:description/>
  <cp:lastModifiedBy>Joanna Piątek</cp:lastModifiedBy>
  <cp:lastPrinted>2013-02-18T07:31:19Z</cp:lastPrinted>
  <dcterms:created xsi:type="dcterms:W3CDTF">2007-08-17T08:55:34Z</dcterms:created>
  <dcterms:modified xsi:type="dcterms:W3CDTF">2013-02-18T07:41:20Z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1045</vt:i4>
  </property>
</Properties>
</file>