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89" activeTab="0"/>
  </bookViews>
  <sheets>
    <sheet name="ZAŁ 1" sheetId="1" r:id="rId1"/>
    <sheet name="ZAŁ 2" sheetId="2" r:id="rId2"/>
    <sheet name="ZAŁ 3" sheetId="3" r:id="rId3"/>
    <sheet name="ZAŁ 4" sheetId="4" r:id="rId4"/>
    <sheet name="ZAŁ 5" sheetId="5" r:id="rId5"/>
    <sheet name="ZAŁ 6" sheetId="6" r:id="rId6"/>
    <sheet name="ZAŁ 7" sheetId="7" r:id="rId7"/>
    <sheet name="ZAŁ 8" sheetId="8" r:id="rId8"/>
    <sheet name="ZAŁ 9" sheetId="9" r:id="rId9"/>
  </sheets>
  <definedNames>
    <definedName name="_xlnm.Print_Area" localSheetId="1">'ZAŁ 2'!$A$1:$M$34</definedName>
    <definedName name="_xlnm.Print_Area" localSheetId="3">'ZAŁ 4'!$A$1:$H$37</definedName>
    <definedName name="_xlnm.Print_Area" localSheetId="4">'ZAŁ 5'!$A$1:$H$49</definedName>
    <definedName name="_xlnm.Print_Area" localSheetId="7">'ZAŁ 8'!$A$1:$F$55</definedName>
    <definedName name="_xlnm.Print_Area" localSheetId="8">'ZAŁ 9'!$A$1:$K$43</definedName>
  </definedNames>
  <calcPr fullCalcOnLoad="1"/>
</workbook>
</file>

<file path=xl/sharedStrings.xml><?xml version="1.0" encoding="utf-8"?>
<sst xmlns="http://schemas.openxmlformats.org/spreadsheetml/2006/main" count="1325" uniqueCount="428">
  <si>
    <t>w tym osoby w wieku 15-24/ 15-30 lata**</t>
  </si>
  <si>
    <r>
      <t>Kolumna 1</t>
    </r>
    <r>
      <rPr>
        <sz val="10"/>
        <rFont val="Arial"/>
        <family val="2"/>
      </rPr>
      <t xml:space="preserve"> - należy podać nr Działania, w ramach którego została udzielona pomoc publiczna.
</t>
    </r>
    <r>
      <rPr>
        <i/>
        <sz val="10"/>
        <rFont val="Arial"/>
        <family val="2"/>
      </rPr>
      <t xml:space="preserve">Kolumna 2 - </t>
    </r>
    <r>
      <rPr>
        <sz val="10"/>
        <rFont val="Arial"/>
        <family val="2"/>
      </rPr>
      <t>należy podać liczbę projektów MŚP objętych pomocą publiczną oraz pomocą de minimis, dla których dotychczas zostały zawarte umowy/wydane decyzje o dofinansowaniu</t>
    </r>
    <r>
      <rPr>
        <i/>
        <sz val="10"/>
        <rFont val="Arial"/>
        <family val="2"/>
      </rPr>
      <t xml:space="preserve">
Kolumna 3 - </t>
    </r>
    <r>
      <rPr>
        <sz val="10"/>
        <rFont val="Arial"/>
        <family val="2"/>
      </rPr>
      <t>należy podać liczbę projektów MŚP objętych pomocą publiczną oraz pomocą de minimis, dla których dotychczas zatwierdzony został co najmniej jeden wniosek o płatność.</t>
    </r>
    <r>
      <rPr>
        <i/>
        <sz val="10"/>
        <rFont val="Arial"/>
        <family val="2"/>
      </rPr>
      <t xml:space="preserve">
Kolumna 4 - </t>
    </r>
    <r>
      <rPr>
        <sz val="10"/>
        <rFont val="Arial"/>
        <family val="2"/>
      </rPr>
      <t>należy podać całkowitą wartość projektów MŚP wskazanych w kol. 2.</t>
    </r>
    <r>
      <rPr>
        <i/>
        <sz val="10"/>
        <rFont val="Arial"/>
        <family val="2"/>
      </rPr>
      <t xml:space="preserve">
Kolumna 5 -</t>
    </r>
    <r>
      <rPr>
        <sz val="10"/>
        <rFont val="Arial"/>
        <family val="2"/>
      </rPr>
      <t xml:space="preserve"> należy podać całkowitą wartość wydatków kwalifikowalnych w ramach projektów MŚP wynikających z zatwierdzonych wniosków o płatność wskazanych w kolumnie 3.</t>
    </r>
    <r>
      <rPr>
        <i/>
        <sz val="10"/>
        <rFont val="Arial"/>
        <family val="2"/>
      </rPr>
      <t xml:space="preserve">
Kolumna 6 - </t>
    </r>
    <r>
      <rPr>
        <sz val="10"/>
        <rFont val="Arial"/>
        <family val="2"/>
      </rPr>
      <t>w odniesieniu do kolumny 5 należy wyodrębnić tę część wydatków kwalifikowalnych w ramach projektów MŚP, które dotyczą pomocy publicznej oraz pomocy de minimis</t>
    </r>
    <r>
      <rPr>
        <i/>
        <sz val="10"/>
        <rFont val="Arial"/>
        <family val="2"/>
      </rPr>
      <t xml:space="preserve">
Kolumny 7, 8 i 9 - </t>
    </r>
    <r>
      <rPr>
        <sz val="10"/>
        <rFont val="Arial"/>
        <family val="2"/>
      </rPr>
      <t xml:space="preserve">należy podać całkowitą kwotę środków zakwalifikowanych jako pomoc publiczna i pomoc de minimis na podstawie zatwierdzonych wniosków o płatność w poszczególnych 
kategoriach wielkości przedsiębiorstwa (tj. mikro, małych i średnich przedsiębiorstwach zdefiniowanych zgodnie z Zasadami udzielania pomocy publicznej w ramach PO KL)
</t>
    </r>
    <r>
      <rPr>
        <i/>
        <sz val="10"/>
        <rFont val="Arial"/>
        <family val="2"/>
      </rPr>
      <t>Kolumny 5-9</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Nie należy uwzględniać wkładu prywatnego.</t>
    </r>
    <r>
      <rPr>
        <i/>
        <sz val="10"/>
        <rFont val="Arial"/>
        <family val="2"/>
      </rPr>
      <t xml:space="preserve">
</t>
    </r>
    <r>
      <rPr>
        <sz val="10"/>
        <rFont val="Arial"/>
        <family val="2"/>
      </rPr>
      <t xml:space="preserve">Rejestrując w systemie KSI kwoty odzyskane lub wycofane, należy jednocześnie, w module </t>
    </r>
    <r>
      <rPr>
        <i/>
        <sz val="10"/>
        <rFont val="Arial"/>
        <family val="2"/>
      </rPr>
      <t>Wnioski o płatnoś</t>
    </r>
    <r>
      <rPr>
        <sz val="10"/>
        <rFont val="Arial"/>
        <family val="2"/>
      </rPr>
      <t xml:space="preserve">ć,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 xml:space="preserve">Rejestr obciążeń na 
projekcie </t>
    </r>
    <r>
      <rPr>
        <sz val="10"/>
        <rFont val="Arial"/>
        <family val="2"/>
      </rPr>
      <t xml:space="preserve">w części dotyczącej pomocy publicznej. Do zwrotów tych każdorazowo powinny być wprowadzane korekty w module </t>
    </r>
    <r>
      <rPr>
        <i/>
        <sz val="10"/>
        <rFont val="Arial"/>
        <family val="2"/>
      </rPr>
      <t xml:space="preserve">Wnioski o płatność </t>
    </r>
    <r>
      <rPr>
        <sz val="10"/>
        <rFont val="Arial"/>
        <family val="2"/>
      </rPr>
      <t>korygujące wartość pomocy publicznej udzielonej 
w ramach projektu.</t>
    </r>
  </si>
  <si>
    <r>
      <t xml:space="preserve">Należy uwzględnić osoby, które otrzymały jednorazowe środki na podjęcie działalności gospodarczej w ramach Poddziałania 6.1.3, Działania 6.2 i  Poddziałania 8.1.2 oraz </t>
    </r>
    <r>
      <rPr>
        <sz val="10"/>
        <rFont val="Arial"/>
        <family val="2"/>
      </rPr>
      <t>spółdzielnie socjalne utworzone w ramach Poddziałania 7.2.2 (środki na założenie spółdzielni, przystąpienie oraz zatrudnienie w spółdzielni).</t>
    </r>
  </si>
  <si>
    <r>
      <t xml:space="preserve">Kolumna 1 </t>
    </r>
    <r>
      <rPr>
        <sz val="10"/>
        <rFont val="Arial"/>
        <family val="2"/>
      </rPr>
      <t xml:space="preserve">- należy podać nr Działania, w ramach którego została udzielona pomoc publiczna.
</t>
    </r>
    <r>
      <rPr>
        <i/>
        <sz val="10"/>
        <rFont val="Arial"/>
        <family val="2"/>
      </rPr>
      <t>Kolumna 2</t>
    </r>
    <r>
      <rPr>
        <sz val="10"/>
        <rFont val="Arial"/>
        <family val="2"/>
      </rPr>
      <t xml:space="preserve"> - należy podać nazwę programu pomocowego lub innej podstawy udzielania pomocy (akta prawa krajowego, akta prawa wspólnotowego, wytyczne, etc.). Dla działania należy wykazać wszystkie odpowiednie podstawy udzielenia pomocy. Jeżeli program pomocowy (lub inna podstawa udzielenia pomocy) odnosi się do więcej niż jednego działania, należy wykazać go odpowiednio we wszystkich właściwych działaniach.
</t>
    </r>
    <r>
      <rPr>
        <i/>
        <sz val="10"/>
        <rFont val="Arial"/>
        <family val="2"/>
      </rPr>
      <t xml:space="preserve">Kolumna 3 - </t>
    </r>
    <r>
      <rPr>
        <sz val="10"/>
        <rFont val="Arial"/>
        <family val="2"/>
      </rPr>
      <t>należy podać liczbę projektów objętych pomocą publiczną oraz pomocą de minimis, dla których dotychczas zostały zawarte umowy/ wydane decyzje o dofinanoswaniu.</t>
    </r>
    <r>
      <rPr>
        <i/>
        <sz val="10"/>
        <rFont val="Arial"/>
        <family val="2"/>
      </rPr>
      <t xml:space="preserve">
Kolumna 4 - </t>
    </r>
    <r>
      <rPr>
        <sz val="10"/>
        <rFont val="Arial"/>
        <family val="2"/>
      </rPr>
      <t>należy podać liczbę projektów objętych pomocą publiczną oraz pomocą de minimis, dla których dotychczas zatwierdzony został co najmniej jednen wniosek o płatność.</t>
    </r>
    <r>
      <rPr>
        <i/>
        <sz val="10"/>
        <rFont val="Arial"/>
        <family val="2"/>
      </rPr>
      <t xml:space="preserve">
Kolumna 5 - </t>
    </r>
    <r>
      <rPr>
        <sz val="10"/>
        <rFont val="Arial"/>
        <family val="2"/>
      </rPr>
      <t>należy podać całkowitą wartość umów wskazanych w kol. 3.</t>
    </r>
    <r>
      <rPr>
        <i/>
        <sz val="10"/>
        <rFont val="Arial"/>
        <family val="2"/>
      </rPr>
      <t xml:space="preserve">
Kolumna 6 -</t>
    </r>
    <r>
      <rPr>
        <sz val="10"/>
        <rFont val="Arial"/>
        <family val="2"/>
      </rPr>
      <t xml:space="preserve"> należy podać całkowitą wartość wydatków kwalifikowalnych wynikających z zatwierdzonych wniosków o płatność dla projektów wskazanych w kolumnie 4.</t>
    </r>
    <r>
      <rPr>
        <i/>
        <sz val="10"/>
        <rFont val="Arial"/>
        <family val="2"/>
      </rPr>
      <t xml:space="preserve">
Kolumna 7 - </t>
    </r>
    <r>
      <rPr>
        <sz val="10"/>
        <rFont val="Arial"/>
        <family val="2"/>
      </rPr>
      <t xml:space="preserve">w odniesieniu do kol. 6 należy wyodrębnić tę część wydatków kwalifikowalnych, które dotyczą pomocy publicznej oraz pomocy de minimis
</t>
    </r>
    <r>
      <rPr>
        <i/>
        <sz val="10"/>
        <rFont val="Arial"/>
        <family val="2"/>
      </rPr>
      <t>Kolumny 6-7</t>
    </r>
    <r>
      <rPr>
        <sz val="10"/>
        <rFont val="Arial"/>
        <family val="2"/>
      </rPr>
      <t xml:space="preserve"> - wartości należy odpowiednio pomniejszyć o kwoty odzyskane/kwoty wycofane w module </t>
    </r>
    <r>
      <rPr>
        <i/>
        <sz val="10"/>
        <rFont val="Arial"/>
        <family val="2"/>
      </rPr>
      <t xml:space="preserve">Rejestracja obciążeń na projekcie. Nie należy uwzględniać wkładu prywatnego.
</t>
    </r>
    <r>
      <rPr>
        <sz val="10"/>
        <rFont val="Arial"/>
        <family val="2"/>
      </rPr>
      <t xml:space="preserve">Rejestrując w systemie KSI kwoty odzyskane lub wycofane, należy jednocześnie, w module </t>
    </r>
    <r>
      <rPr>
        <i/>
        <sz val="10"/>
        <rFont val="Arial"/>
        <family val="2"/>
      </rPr>
      <t>Wnioski o płatność</t>
    </r>
    <r>
      <rPr>
        <sz val="10"/>
        <rFont val="Arial"/>
        <family val="2"/>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Rejestr obciążeń 
na projekcie</t>
    </r>
    <r>
      <rPr>
        <sz val="10"/>
        <rFont val="Arial"/>
        <family val="2"/>
      </rPr>
      <t xml:space="preserve"> w części dotyczącej pomocy publicznej. Do zwrotów tych każdorazowo powinny być wprowadzane korekty w module </t>
    </r>
    <r>
      <rPr>
        <i/>
        <sz val="10"/>
        <rFont val="Arial"/>
        <family val="2"/>
      </rPr>
      <t>Wnioski o płatność</t>
    </r>
    <r>
      <rPr>
        <sz val="10"/>
        <rFont val="Arial"/>
        <family val="2"/>
      </rPr>
      <t xml:space="preserve"> korygujące wartość pomocy publicznej 
udzielonej w ramach projektu.</t>
    </r>
  </si>
  <si>
    <t>* nie dot. osób, które otrzymały jednorazowe środki na podjęcie działalności gospodarczej w ramach Poddziałania 6.1.3, Działania 6.2 i Poddziałania 8.1.2. oraz spółdzielni socjalnych utworzonych w ramach projektu w Poddziałaniu 7.2.2.</t>
  </si>
  <si>
    <r>
      <t xml:space="preserve">Wartość udzielonej pomocy publicznej oraz pomocy </t>
    </r>
    <r>
      <rPr>
        <b/>
        <i/>
        <sz val="10"/>
        <rFont val="Arial"/>
        <family val="2"/>
      </rPr>
      <t xml:space="preserve">de minimis </t>
    </r>
    <r>
      <rPr>
        <sz val="10"/>
        <rFont val="Arial"/>
        <family val="2"/>
      </rPr>
      <t xml:space="preserve">- wartość środków stanowiących pomoc publiczną oraz pomoc </t>
    </r>
    <r>
      <rPr>
        <i/>
        <sz val="10"/>
        <rFont val="Arial"/>
        <family val="2"/>
      </rPr>
      <t>de minimis</t>
    </r>
    <r>
      <rPr>
        <sz val="10"/>
        <rFont val="Arial"/>
        <family val="2"/>
      </rPr>
      <t xml:space="preserve"> w ramach podpisanych w Programie umów/ decyzji o dofinansowanie realizacji projektów.
</t>
    </r>
    <r>
      <rPr>
        <b/>
        <sz val="10"/>
        <rFont val="Arial"/>
        <family val="2"/>
      </rPr>
      <t xml:space="preserve">Wartość wypłaconej pomocy publicznej oraz pomocy </t>
    </r>
    <r>
      <rPr>
        <b/>
        <i/>
        <sz val="10"/>
        <rFont val="Arial"/>
        <family val="2"/>
      </rPr>
      <t xml:space="preserve">de minimis </t>
    </r>
    <r>
      <rPr>
        <sz val="10"/>
        <rFont val="Arial"/>
        <family val="2"/>
      </rPr>
      <t>- wartość środków zakwalifikowanych jako pomoc publiczna oraz pomoc de minimis wypłaconych w ramach Programu (tj. przekazanych na rachunki beneficjentów) na podstawie zatwierdzonych wniosków o płatność.</t>
    </r>
  </si>
  <si>
    <r>
      <t xml:space="preserve">Liczba projektów objętych pomocą publiczną oraz pomocą </t>
    </r>
    <r>
      <rPr>
        <b/>
        <i/>
        <sz val="10"/>
        <rFont val="Arial"/>
        <family val="2"/>
      </rPr>
      <t>de minimis</t>
    </r>
  </si>
  <si>
    <r>
      <t xml:space="preserve">Wartość projektów objętych pomocą publiczną oraz pomocą </t>
    </r>
    <r>
      <rPr>
        <b/>
        <i/>
        <sz val="10"/>
        <rFont val="Arial"/>
        <family val="2"/>
      </rPr>
      <t>de minimis</t>
    </r>
  </si>
  <si>
    <r>
      <t xml:space="preserve">Wartość wypłaconej pomocy publicznej oraz pomocy </t>
    </r>
    <r>
      <rPr>
        <b/>
        <i/>
        <sz val="10"/>
        <rFont val="Arial"/>
        <family val="2"/>
      </rPr>
      <t>de minimis</t>
    </r>
  </si>
  <si>
    <r>
      <t>Pomoc publiczna oraz pomoc de minimis udzielana bezpośrednio na rzecz MŚP</t>
    </r>
    <r>
      <rPr>
        <sz val="10"/>
        <rFont val="Arial"/>
        <family val="2"/>
      </rPr>
      <t xml:space="preserve"> - należy uwzględnić wyłącznie projekty własne MŚP objęte pomocą publiczną oraz pomocą de minimis, tj. umowa na realizację projektu została podpisana między IP/IP2 a Beneficjentem będącym mikro, małym lub średnim przedsiębiorcą
</t>
    </r>
    <r>
      <rPr>
        <i/>
        <sz val="10"/>
        <rFont val="Arial"/>
        <family val="2"/>
      </rPr>
      <t>Pomoc publiczna oraz pomoc de minimis udzialana na rzecz MŚP przez instytucje pełniace rolę pośredników</t>
    </r>
    <r>
      <rPr>
        <sz val="10"/>
        <rFont val="Arial"/>
        <family val="2"/>
      </rPr>
      <t xml:space="preserve"> - należy uwzględnić projekty, w ramach których pomoc publiczna oraz pomoc de minimis jest udzielana na rzecz MŚP przez inne podmioty</t>
    </r>
  </si>
  <si>
    <r>
      <t xml:space="preserve">Liczba projektów MŚP objętych pomocą publiczną oraz pomocą </t>
    </r>
    <r>
      <rPr>
        <b/>
        <i/>
        <sz val="10"/>
        <rFont val="Arial"/>
        <family val="2"/>
      </rPr>
      <t>de minimis</t>
    </r>
  </si>
  <si>
    <r>
      <t xml:space="preserve">Wartość projektów MŚP objętych pomocą publiczną oraz pomocą </t>
    </r>
    <r>
      <rPr>
        <b/>
        <i/>
        <sz val="10"/>
        <rFont val="Arial"/>
        <family val="2"/>
      </rPr>
      <t>de minimis</t>
    </r>
  </si>
  <si>
    <r>
      <t>Wartość pomocy publicznej oraz pomocy</t>
    </r>
    <r>
      <rPr>
        <b/>
        <i/>
        <sz val="10"/>
        <rFont val="Arial"/>
        <family val="2"/>
      </rPr>
      <t xml:space="preserve"> de minimis </t>
    </r>
    <r>
      <rPr>
        <b/>
        <sz val="10"/>
        <rFont val="Arial"/>
        <family val="2"/>
      </rPr>
      <t>wypłaconej na rzecz MŚP</t>
    </r>
  </si>
  <si>
    <r>
      <t xml:space="preserve">Pomoc publiczna oraz pomoc </t>
    </r>
    <r>
      <rPr>
        <b/>
        <i/>
        <sz val="10"/>
        <rFont val="Arial"/>
        <family val="2"/>
      </rPr>
      <t>de minimis</t>
    </r>
    <r>
      <rPr>
        <b/>
        <sz val="10"/>
        <rFont val="Arial"/>
        <family val="2"/>
      </rPr>
      <t xml:space="preserve"> udzielana bezpośrednio na rzecz MŚP</t>
    </r>
  </si>
  <si>
    <r>
      <t xml:space="preserve">Należy wypełnić w oparciu o dane z załącznika nr 2 </t>
    </r>
    <r>
      <rPr>
        <i/>
        <sz val="10"/>
        <rFont val="Arial"/>
        <family val="2"/>
      </rPr>
      <t>"Szczegółowa charakterystyka udzielonego wsparcia"</t>
    </r>
    <r>
      <rPr>
        <sz val="10"/>
        <rFont val="Arial"/>
        <family val="2"/>
      </rPr>
      <t xml:space="preserve"> wniosków o płatność zatwierdzonych i wprowadzonych do KSI SIMIK 07-13 wg stanu na koniec bieżącego okresu sprawozdawczego.</t>
    </r>
  </si>
  <si>
    <t>Liczba podmiotów ekonomii społecznej, które skorzystały z usług doradczych</t>
  </si>
  <si>
    <t>Liczba osób, które zakończyły udział w projektach realizowanych w ramach Działania*</t>
  </si>
  <si>
    <t xml:space="preserve">- w tym liczba osób w wieku 15-24 lata* </t>
  </si>
  <si>
    <t>- w tym liczba osób w wieku 15-24 lata zamieszkujących obszary wiejskie*</t>
  </si>
  <si>
    <t>- w tym liczba osób znajdujących się w szczególnie trudnej sytuacji na rynku pracy*</t>
  </si>
  <si>
    <t xml:space="preserve">    a) w tym liczba osób niepełnosprawnych*</t>
  </si>
  <si>
    <t xml:space="preserve">    b) w tym liczba osób długotrwale bezrobotnych*</t>
  </si>
  <si>
    <t xml:space="preserve">    c) w tym liczba osób z terenów wiejskich*</t>
  </si>
  <si>
    <t xml:space="preserve">- w tym liczba osób w wieku 50-64 lata* </t>
  </si>
  <si>
    <t xml:space="preserve">- w tym liczba osób, które zostały objęte Indywidualnym Planem Działania* </t>
  </si>
  <si>
    <t>Liczba projektów wspierających rozwój inicjatyw lokalnych*</t>
  </si>
  <si>
    <t>Liczba projektów wspierających rozwój inicjatyw na rzecz aktywizacji i integracji społeczności lokalnych*</t>
  </si>
  <si>
    <t>Liczba partnerstw (sieci współpracy) zawiązanych na szczeblu lokalnym i regionalnym*</t>
  </si>
  <si>
    <t>c) środki na rozpoczęcie działalności gospodarczej</t>
  </si>
  <si>
    <t>a) jednorazowy dodatek relokacyjny/ mobilnościowy**</t>
  </si>
  <si>
    <t>b) jednorazowy dodatek motywacyjny**</t>
  </si>
  <si>
    <t>** Wskaźnik monitorowany w odniesieniu do projektów, dla których wniosek o dofinansowanie został złożony do dnia 31 grudnia 2010 r.</t>
  </si>
  <si>
    <t>Liczba osób, które były objęte wsparciem w zakresie rozpoczynania własnej działalności gospodarczej typu spin off lub spin out*</t>
  </si>
  <si>
    <r>
      <t xml:space="preserve">W wierszach </t>
    </r>
    <r>
      <rPr>
        <i/>
        <sz val="10"/>
        <rFont val="Arial"/>
        <family val="2"/>
      </rPr>
      <t xml:space="preserve">„Osoby w wieku 55-64 lata” </t>
    </r>
    <r>
      <rPr>
        <sz val="10"/>
        <rFont val="Arial"/>
        <family val="2"/>
      </rPr>
      <t xml:space="preserve">oraz </t>
    </r>
    <r>
      <rPr>
        <i/>
        <sz val="10"/>
        <rFont val="Arial"/>
        <family val="2"/>
      </rPr>
      <t>„Pracownicy w wieku 55-64 lata”</t>
    </r>
    <r>
      <rPr>
        <sz val="10"/>
        <rFont val="Arial"/>
        <family val="2"/>
      </rPr>
      <t xml:space="preserve"> wykazywani są uczestnicy projektów realizowanych w ramach Działania, którzy w dniu rozpoczęcia udziału w projekcie mieli skończone 55 lat (od dnia 55 urodzin) i jednocześnie nie ukończyli 65 lat (do dnia poprzedzającego dzień 65 urodzin). W ramach </t>
    </r>
    <r>
      <rPr>
        <i/>
        <sz val="10"/>
        <rFont val="Arial"/>
        <family val="2"/>
      </rPr>
      <t>„Pracowników w wieku 55-64 lata"</t>
    </r>
    <r>
      <rPr>
        <sz val="10"/>
        <rFont val="Arial"/>
        <family val="2"/>
      </rPr>
      <t xml:space="preserve"> należy uwzględniać osoby zatrudnione i samozatrudnione zgodnie z definicjami wskazanymi w Instrukcji do wniosku o dofinansowanie projektu PO KL.</t>
    </r>
  </si>
  <si>
    <t>osoby w wieku 55-64 lata</t>
  </si>
  <si>
    <t>w tym pracownicy w wieku 55-64 lata</t>
  </si>
  <si>
    <r>
      <t>liczba osób, które znalazły lub kontynuują zatrudnienie</t>
    </r>
    <r>
      <rPr>
        <sz val="9"/>
        <rFont val="Arial"/>
        <family val="2"/>
      </rPr>
      <t xml:space="preserve"> - liczba osób, które podjęły zatrudnienie lub ropoczęły prowadzenie działalności gospodarczej po zakończeniu udziału w projektach realizowanych w ramach Działania - dot. uczestników, którzy zakończyli udział w Działaniu od roku, w którym w Planach działania wprowadzono kryteria dot. pomiaru efektywności zatrudnieniowej
</t>
    </r>
    <r>
      <rPr>
        <b/>
        <sz val="9"/>
        <rFont val="Arial"/>
        <family val="2"/>
      </rPr>
      <t>W kol. 6-8 należy wykazać uczestników, którzy podjęli zatrudnienie, spośród osób wykazanych w kol. 3-5.</t>
    </r>
  </si>
  <si>
    <t xml:space="preserve">Liczba uczniów szkół zawodowych, którzy otrzymali wsparcie w postaci staży i praktyk zagranicznych </t>
  </si>
  <si>
    <t xml:space="preserve">d) w tym w zakresie kwalifikacyjnych kursów zawodowych </t>
  </si>
  <si>
    <t>- w tym liczba osób w wieku 15-24 lata</t>
  </si>
  <si>
    <t>Liczba osób, które skorzystały z usług doradczych (projekty inżynierii finansowej)</t>
  </si>
  <si>
    <t>Liczba osób, które uczestniczyły w szkoleniach (projekty inżynierii finansowej)</t>
  </si>
  <si>
    <t>W tabeli należy wykazać przedsiebiorstwa objęte wsparciem w ramach Priorytetu I, II, VI, VII, VIII i IX</t>
  </si>
  <si>
    <r>
      <t xml:space="preserve">Zgodnie z rozporządzeniem Komisji (WE) nr 800/2008 z dnia 6 sierpnia 2008 r. uznające niektóre rodzaje pomocy za zgodne ze wspólnym rynkiem w zastosowaniu art. 87 i 88 Traktatu WE (ogólne rozporządzenie w sprawie wyłączeń blokowych) przyjęto następujące definicje przedsiębiorstw:
</t>
    </r>
    <r>
      <rPr>
        <b/>
        <sz val="9"/>
        <rFont val="Arial"/>
        <family val="2"/>
      </rPr>
      <t>Mikroprzedsiębiorstwo</t>
    </r>
    <r>
      <rPr>
        <sz val="9"/>
        <rFont val="Arial"/>
        <family val="2"/>
      </rPr>
      <t xml:space="preserve"> – jest to przedsiębiorstwo zatrudniające do 9 pracowników włącznie i którego roczny obrót i/lub całkowity bilans roczny nie przekracza 2 milionów EUR.
</t>
    </r>
    <r>
      <rPr>
        <b/>
        <sz val="9"/>
        <rFont val="Arial"/>
        <family val="2"/>
      </rPr>
      <t>Małe przedsiębiorstwo</t>
    </r>
    <r>
      <rPr>
        <sz val="9"/>
        <rFont val="Arial"/>
        <family val="2"/>
      </rPr>
      <t xml:space="preserve"> – jest to przedsiębiorstwo zatrudniające do 49 pracowników włącznie i którego roczny obrót i/lub całkowity bilans roczny nie przekracza 10 milionów EUR.
</t>
    </r>
    <r>
      <rPr>
        <b/>
        <sz val="9"/>
        <rFont val="Arial"/>
        <family val="2"/>
      </rPr>
      <t>Średnie przedsiębiorstwo</t>
    </r>
    <r>
      <rPr>
        <sz val="9"/>
        <rFont val="Arial"/>
        <family val="2"/>
      </rPr>
      <t xml:space="preserve"> – jest to przedsiębiorstwo zatrudniające do 249 pracowników włącznie i którego roczny obrót nie przekracza 50 milionów EUR a/lub całkowity bilans roczny nie przekracza 43 milionów EUR.
</t>
    </r>
    <r>
      <rPr>
        <b/>
        <sz val="9"/>
        <rFont val="Arial"/>
        <family val="2"/>
      </rPr>
      <t>Duże przedsiębiorstwo</t>
    </r>
    <r>
      <rPr>
        <sz val="9"/>
        <rFont val="Arial"/>
        <family val="2"/>
      </rPr>
      <t xml:space="preserve"> – jest to przedsiębiorstwo, które nie kwalifikuje się do żadnej z ww. kategorii przedsiębiorstw.
Ponadto, zgodnie z Instrukcją do wniosku o dofinansowanie projektu Program Operacyjny Kapitał Ludzki przyjęto następującą definicję samozatrudnionych:
</t>
    </r>
    <r>
      <rPr>
        <b/>
        <sz val="9"/>
        <rFont val="Arial"/>
        <family val="2"/>
      </rPr>
      <t>Samozatrudnieni</t>
    </r>
    <r>
      <rPr>
        <sz val="9"/>
        <rFont val="Arial"/>
        <family val="2"/>
      </rPr>
      <t xml:space="preserve"> – osoby fizyczne prowadzące działalność gospodarczą, nie zatrudniające pracowników.</t>
    </r>
  </si>
  <si>
    <r>
      <t xml:space="preserve">Należy wypełnić w oparciu o dane z załącznika nr 2 </t>
    </r>
    <r>
      <rPr>
        <i/>
        <sz val="10"/>
        <rFont val="Arial"/>
        <family val="2"/>
      </rPr>
      <t>"Szczegółowa charakterystyka udzielonego wsparcia"</t>
    </r>
    <r>
      <rPr>
        <sz val="10"/>
        <rFont val="Arial"/>
        <family val="2"/>
      </rPr>
      <t xml:space="preserv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uwzględnić dane kumulatywne od początku okresu ich realizacji.</t>
    </r>
  </si>
  <si>
    <t>* Wskaźnik monitorowany w odniesieniu do projektów, dla których wniosek o dofinansowanie został złożony do dnia 31 grudnia 2011 r.</t>
  </si>
  <si>
    <t>Liczba konsultantów świadczących usługi na rzecz rozwoju przedsiębiorczości w akredytowanych instytucjach, którzy zostali objęci usługami doradczymi, szkoleniowymi lub innymi formami podwyższania kwalifikacji*</t>
  </si>
  <si>
    <t>Liczba projektów analitycznych i badawczych zrealizowanych w ramach Planu Działań*</t>
  </si>
  <si>
    <r>
      <t>W ramach wiersza nr 1</t>
    </r>
    <r>
      <rPr>
        <b/>
        <sz val="10"/>
        <rFont val="Arial"/>
        <family val="2"/>
      </rPr>
      <t xml:space="preserve"> </t>
    </r>
    <r>
      <rPr>
        <b/>
        <i/>
        <sz val="10"/>
        <rFont val="Arial"/>
        <family val="2"/>
      </rPr>
      <t>„podstawowe, gimnazjalne i niższe”</t>
    </r>
    <r>
      <rPr>
        <sz val="10"/>
        <rFont val="Arial"/>
        <family val="2"/>
      </rPr>
      <t xml:space="preserve"> wykazywane są osoby, które posiadają wykształcenie podstawowe, gimnazjalne oraz niższe od ww. wymienionych. W ramach wiersza nr 2 </t>
    </r>
    <r>
      <rPr>
        <b/>
        <i/>
        <sz val="10"/>
        <rFont val="Arial"/>
        <family val="2"/>
      </rPr>
      <t>„ponadgimnazjalne”</t>
    </r>
    <r>
      <rPr>
        <sz val="10"/>
        <rFont val="Arial"/>
        <family val="2"/>
      </rPr>
      <t xml:space="preserve"> wykazywane są osoby, które posiadają wykształcenie średnie lub zasadnicze zawodowe. W ramach wiersza nr 3 </t>
    </r>
    <r>
      <rPr>
        <b/>
        <i/>
        <sz val="10"/>
        <rFont val="Arial"/>
        <family val="2"/>
      </rPr>
      <t>„pomaturalne”</t>
    </r>
    <r>
      <rPr>
        <sz val="10"/>
        <rFont val="Arial"/>
        <family val="2"/>
      </rPr>
      <t xml:space="preserve"> wykazywane są osoby, które ukończyły szkołę policealną, ale nie ukończyły studiów wyższych. W ramach wiersza nr 4 </t>
    </r>
    <r>
      <rPr>
        <b/>
        <i/>
        <sz val="10"/>
        <rFont val="Arial"/>
        <family val="2"/>
      </rPr>
      <t>„wyższe”</t>
    </r>
    <r>
      <rPr>
        <sz val="10"/>
        <rFont val="Arial"/>
        <family val="2"/>
      </rPr>
      <t xml:space="preserve"> wykazywane są osoby, które posiadają wykształcenie wyższe (uzyskały tytuł licencjata lub inżyniera lub magistra lub doktora), w tym również osoby, które ukończyły studia podyplomowe.</t>
    </r>
  </si>
  <si>
    <r>
      <t xml:space="preserve">Pomiar wskaźników jest dokonywany zgodnie z </t>
    </r>
    <r>
      <rPr>
        <i/>
        <sz val="9"/>
        <rFont val="Arial"/>
        <family val="2"/>
      </rPr>
      <t>Podręcznikiem wskaźników PO KL 2007-2013</t>
    </r>
    <r>
      <rPr>
        <sz val="9"/>
        <rFont val="Arial"/>
        <family val="2"/>
      </rPr>
      <t xml:space="preserve">, stanowiącym załącznik do </t>
    </r>
    <r>
      <rPr>
        <i/>
        <sz val="9"/>
        <rFont val="Arial"/>
        <family val="2"/>
      </rPr>
      <t>Zasad systemu sprawozdawczości PO KL 2007-2013</t>
    </r>
    <r>
      <rPr>
        <sz val="9"/>
        <rFont val="Arial"/>
        <family val="2"/>
      </rPr>
      <t>.</t>
    </r>
  </si>
  <si>
    <t>Załącznik nr 1. Osiągnięte wartości wskaźników</t>
  </si>
  <si>
    <r>
      <t xml:space="preserve">UWAGA:
</t>
    </r>
    <r>
      <rPr>
        <sz val="10"/>
        <rFont val="Arial"/>
        <family val="2"/>
      </rPr>
      <t xml:space="preserve">Wartości wskaźników prezentujących liczbę osób, które zakończyły udział w projektach, powinny być powiązane z wartościami wynikającymi z tabeli w załączniku nr 2 </t>
    </r>
    <r>
      <rPr>
        <i/>
        <sz val="10"/>
        <rFont val="Arial"/>
        <family val="2"/>
      </rPr>
      <t>„Przepływ uczestników projektów realizowanych w ramach Działania”</t>
    </r>
    <r>
      <rPr>
        <sz val="10"/>
        <rFont val="Arial"/>
        <family val="2"/>
      </rPr>
      <t>.</t>
    </r>
  </si>
  <si>
    <t>Załącznik nr 2. Przepływ uczestników projektów realizowanych w ramach Działania</t>
  </si>
  <si>
    <t>Liczba osób, które zakończyły udział w Działaniu</t>
  </si>
  <si>
    <t>Załącznik nr 3. Określenie statusu na rynku pracy osób, które rozpoczęły udział w projektach realizowanych w ramach Działania</t>
  </si>
  <si>
    <r>
      <t xml:space="preserve">Pomiar wskaźników jest dokonywany zgodnie z załącznikiem nr 7 </t>
    </r>
    <r>
      <rPr>
        <i/>
        <sz val="9"/>
        <rFont val="Arial"/>
        <family val="2"/>
      </rPr>
      <t xml:space="preserve">Sposób pomiaru wskaźnika efektywności zatrudnieniowej w projekcie </t>
    </r>
    <r>
      <rPr>
        <sz val="9"/>
        <rFont val="Arial"/>
        <family val="2"/>
      </rPr>
      <t>do</t>
    </r>
    <r>
      <rPr>
        <i/>
        <sz val="9"/>
        <rFont val="Arial"/>
        <family val="2"/>
      </rPr>
      <t xml:space="preserve"> Podręcznika wskaźników PO KL 2007-2013.</t>
    </r>
  </si>
  <si>
    <t>Załącznik nr 4. Osoby, które rozpoczęły udział w projektach realizowanych w ramach Działania, znajdujący się w dwóch grupach wiekowych 15-24 i 55-64 lata</t>
  </si>
  <si>
    <t>5=3+4</t>
  </si>
  <si>
    <t>8=6+7</t>
  </si>
  <si>
    <t>9=(6/3)*100</t>
  </si>
  <si>
    <r>
      <t>Wskaźnik efektywności zatrudnieniowej należy liczyć</t>
    </r>
    <r>
      <rPr>
        <b/>
        <sz val="9"/>
        <rFont val="Arial"/>
        <family val="2"/>
      </rPr>
      <t xml:space="preserve"> narastająco od początku realizacjji Działania</t>
    </r>
    <r>
      <rPr>
        <sz val="9"/>
        <rFont val="Arial"/>
        <family val="2"/>
      </rPr>
      <t>.</t>
    </r>
  </si>
  <si>
    <t>Inne wskaźniki efektywności zatrudnieniowej określone we wniosku o dofinansowanie w ramach Priorytetu/ Działania (należy podać nr Priorytetu/ Działania j.w.)</t>
  </si>
  <si>
    <r>
      <t xml:space="preserve">Tabela stanowi uszczegółowienie informacji przekazanych w ramach załącznika nr 2 </t>
    </r>
    <r>
      <rPr>
        <i/>
        <sz val="10"/>
        <rFont val="Arial"/>
        <family val="2"/>
      </rPr>
      <t>Przepływ uczestników projektów realizowanych w ramach Działania</t>
    </r>
    <r>
      <rPr>
        <sz val="10"/>
        <rFont val="Arial"/>
        <family val="2"/>
      </rPr>
      <t xml:space="preserve">. </t>
    </r>
    <r>
      <rPr>
        <b/>
        <sz val="10"/>
        <rFont val="Arial"/>
        <family val="2"/>
      </rPr>
      <t>Wiek osoby objętej wsparciem określany jest w chwili rozpoczęcia jej udziału w projekcie</t>
    </r>
    <r>
      <rPr>
        <sz val="10"/>
        <rFont val="Arial"/>
        <family val="2"/>
      </rPr>
      <t>. W wierszu „Osoby młode 15-24 lata” należy uwzględnić uczestników projektu, którzy w dniu rozpoczęcia udziału w projekcie mieli skończone 15 lat (od dnia 15 urodzin) i jednocześnie nie ukończyli 25 lat (do dnia poprzedzającego dzień 25 urodzin).</t>
    </r>
  </si>
  <si>
    <t>Załącznik nr 5. Osoby, które rozpoczęły udział w projektach realizowanych w ramach Działania ze względu na wykształcenie</t>
  </si>
  <si>
    <r>
      <t xml:space="preserve">Tabela stanowi uszczegółowienie informacji przekazanych w ramach załącznika nr 2 </t>
    </r>
    <r>
      <rPr>
        <i/>
        <sz val="10"/>
        <rFont val="Arial"/>
        <family val="2"/>
      </rPr>
      <t>Przepływ uczestników projektów realizowanych w ramach Działania</t>
    </r>
    <r>
      <rPr>
        <sz val="10"/>
        <rFont val="Arial"/>
        <family val="2"/>
      </rPr>
      <t>. Wykształcenie uczestników projektów określane jest w chwili rozpoczęcia ich udziału w projektach, biorąc pod uwagę ostatni zakończony formalnie etap edukacji danej osoby.</t>
    </r>
  </si>
  <si>
    <t>Załącznik nr 6. Przedsiębiorstwa, które przystąpiły do udziału w projektach realizowanych w ramach Działania</t>
  </si>
  <si>
    <t>W celu ukrywania szczegółowych danych dotyczących wskaźników monitorowanych w ramach poszczególnych Działań PO KL należy odpowiednio kliknąć znak plus (pozwala na wyświetlenie wskaźników dla danego Działania) lub znak minus (pozwala na ukrycie wskaźników dla danego Działania) znajdujący się poniżej wiersza z nr Działania. 
Należy przekazać tylko tę część tabeli dotyczącą Działania/Działań PO KL, za które sporządzane jest sprawozdanie.</t>
  </si>
  <si>
    <t xml:space="preserve">* kolumnę należy wypełnić łącznie dla protestów rozpatrywanych przez podległe IP II oraz IP jeśli dotyczy. </t>
  </si>
  <si>
    <t xml:space="preserve">** kolumna dotyczy tylko IP ( Pola  4,  8, 11 powinny być wypełniane w oparciu o dane z podległych IP II - jeśli zostały one powołane). W przypadku województw, w których nie powołano IP II pola 3,  7, 10 należy wypełnić wpisując zwrot "nie dotyczy".      </t>
  </si>
  <si>
    <t xml:space="preserve">OCENA FORMALNA </t>
  </si>
  <si>
    <t>PROTESTY*</t>
  </si>
  <si>
    <t>ODWOŁANIA**</t>
  </si>
  <si>
    <r>
      <t>1.</t>
    </r>
    <r>
      <rPr>
        <sz val="10"/>
        <rFont val="Arial"/>
        <family val="2"/>
      </rPr>
      <t xml:space="preserve"> </t>
    </r>
    <r>
      <rPr>
        <b/>
        <sz val="10"/>
        <rFont val="Arial"/>
        <family val="2"/>
      </rPr>
      <t xml:space="preserve">liczba wniosków przyjętych do oceny formalnej </t>
    </r>
    <r>
      <rPr>
        <sz val="7"/>
        <rFont val="Arial"/>
        <family val="2"/>
      </rPr>
      <t>(1)</t>
    </r>
    <r>
      <rPr>
        <b/>
        <sz val="10"/>
        <rFont val="Arial"/>
        <family val="2"/>
      </rPr>
      <t xml:space="preserve"> </t>
    </r>
    <r>
      <rPr>
        <sz val="10"/>
        <rFont val="Arial"/>
        <family val="2"/>
      </rPr>
      <t>:</t>
    </r>
  </si>
  <si>
    <r>
      <t>2.</t>
    </r>
    <r>
      <rPr>
        <sz val="10"/>
        <rFont val="Arial"/>
        <family val="2"/>
      </rPr>
      <t xml:space="preserve"> </t>
    </r>
    <r>
      <rPr>
        <b/>
        <sz val="10"/>
        <rFont val="Arial"/>
        <family val="2"/>
      </rPr>
      <t xml:space="preserve">liczba wniosków ocenionych negatywnie po ocenie formalnej </t>
    </r>
    <r>
      <rPr>
        <sz val="7"/>
        <rFont val="Arial"/>
        <family val="2"/>
      </rPr>
      <t xml:space="preserve">(2) (3) </t>
    </r>
    <r>
      <rPr>
        <b/>
        <sz val="10"/>
        <rFont val="Arial"/>
        <family val="2"/>
      </rPr>
      <t xml:space="preserve">: </t>
    </r>
  </si>
  <si>
    <r>
      <t xml:space="preserve">3. liczba protestów od negatywnej oceny formalnej projektów, </t>
    </r>
    <r>
      <rPr>
        <sz val="10"/>
        <rFont val="Arial"/>
        <family val="2"/>
      </rPr>
      <t xml:space="preserve">które wpłynęły do IOK </t>
    </r>
    <r>
      <rPr>
        <b/>
        <sz val="10"/>
        <rFont val="Arial"/>
        <family val="2"/>
      </rPr>
      <t>w tym:</t>
    </r>
  </si>
  <si>
    <r>
      <t>3</t>
    </r>
    <r>
      <rPr>
        <sz val="10"/>
        <rFont val="Arial"/>
        <family val="2"/>
      </rPr>
      <t xml:space="preserve">. </t>
    </r>
    <r>
      <rPr>
        <b/>
        <sz val="10"/>
        <rFont val="Arial"/>
        <family val="2"/>
      </rPr>
      <t>liczba odwołań od negatywnej oceny formalnej projektów,</t>
    </r>
    <r>
      <rPr>
        <sz val="10"/>
        <rFont val="Arial"/>
        <family val="2"/>
      </rPr>
      <t xml:space="preserve"> które wpłynęły do IP </t>
    </r>
    <r>
      <rPr>
        <b/>
        <sz val="10"/>
        <rFont val="Arial"/>
        <family val="2"/>
      </rPr>
      <t>w tym:</t>
    </r>
  </si>
  <si>
    <r>
      <t>3.1 rozpatrzonych</t>
    </r>
    <r>
      <rPr>
        <sz val="10"/>
        <rFont val="Arial"/>
        <family val="2"/>
      </rPr>
      <t xml:space="preserve"> (ogółem) </t>
    </r>
    <r>
      <rPr>
        <sz val="7"/>
        <rFont val="Arial"/>
        <family val="2"/>
      </rPr>
      <t>(3)</t>
    </r>
    <r>
      <rPr>
        <sz val="10"/>
        <rFont val="Arial"/>
        <family val="2"/>
      </rPr>
      <t xml:space="preserve"> : </t>
    </r>
  </si>
  <si>
    <r>
      <t xml:space="preserve">3.1 rozpatrzonych (ogółem) </t>
    </r>
    <r>
      <rPr>
        <b/>
        <sz val="7"/>
        <rFont val="Arial"/>
        <family val="2"/>
      </rPr>
      <t>(3)</t>
    </r>
    <r>
      <rPr>
        <b/>
        <sz val="10"/>
        <rFont val="Arial"/>
        <family val="2"/>
      </rPr>
      <t xml:space="preserve">: </t>
    </r>
  </si>
  <si>
    <t xml:space="preserve">3.1.1 pozytywnie: </t>
  </si>
  <si>
    <t xml:space="preserve">3.1.2 negatywnie: </t>
  </si>
  <si>
    <r>
      <t xml:space="preserve">3.2 pozostawionych bez rozpatrzenia </t>
    </r>
    <r>
      <rPr>
        <b/>
        <sz val="7"/>
        <rFont val="Arial"/>
        <family val="2"/>
      </rPr>
      <t>(3)</t>
    </r>
    <r>
      <rPr>
        <b/>
        <sz val="10"/>
        <rFont val="Arial"/>
        <family val="2"/>
      </rPr>
      <t xml:space="preserve">: </t>
    </r>
  </si>
  <si>
    <t xml:space="preserve">3.3 wycofanych: </t>
  </si>
  <si>
    <t xml:space="preserve">3.4 w trakcie rozpatrywania: </t>
  </si>
  <si>
    <r>
      <t>4. liczba wniosków, z pkt 3.1.1, które po pozytywnym rozpatrzeniu protestu od oceny formalnej uzyskały dofinansowanie (podpisano umowy o dofinansowanie ralizacji  projektu)</t>
    </r>
    <r>
      <rPr>
        <sz val="10"/>
        <rFont val="Arial"/>
        <family val="2"/>
      </rPr>
      <t xml:space="preserve"> </t>
    </r>
    <r>
      <rPr>
        <sz val="7"/>
        <rFont val="Arial"/>
        <family val="2"/>
      </rPr>
      <t>(4)</t>
    </r>
    <r>
      <rPr>
        <b/>
        <sz val="10"/>
        <rFont val="Arial"/>
        <family val="2"/>
      </rPr>
      <t xml:space="preserve"> : </t>
    </r>
  </si>
  <si>
    <r>
      <t xml:space="preserve">4. liczba wniosków, z pkt 3.1.1, które po pozytywnym rozpatrzeniu odwołania od oceny formalnej uzyskały dofinansowanie (podpisano umowy o dofinansowanie ralizacji  projektu) </t>
    </r>
    <r>
      <rPr>
        <b/>
        <sz val="7"/>
        <rFont val="Arial"/>
        <family val="2"/>
      </rPr>
      <t xml:space="preserve">(4) </t>
    </r>
    <r>
      <rPr>
        <b/>
        <sz val="10"/>
        <rFont val="Arial"/>
        <family val="2"/>
      </rPr>
      <t xml:space="preserve">: </t>
    </r>
  </si>
  <si>
    <t xml:space="preserve">OCENA MERYTORYCZNA </t>
  </si>
  <si>
    <r>
      <t xml:space="preserve">5. liczba wniosków przyjętych do oceny merytorycznej </t>
    </r>
    <r>
      <rPr>
        <b/>
        <sz val="7"/>
        <rFont val="Arial"/>
        <family val="2"/>
      </rPr>
      <t>(5) (6) :</t>
    </r>
    <r>
      <rPr>
        <b/>
        <sz val="10"/>
        <rFont val="Arial"/>
        <family val="2"/>
      </rPr>
      <t xml:space="preserve"> </t>
    </r>
    <r>
      <rPr>
        <sz val="10"/>
        <rFont val="Arial"/>
        <family val="2"/>
      </rPr>
      <t xml:space="preserve"> </t>
    </r>
  </si>
  <si>
    <t xml:space="preserve">             OCENA  PONIŻEJ  MINIMUM  PUNKTOWEGO   </t>
  </si>
  <si>
    <r>
      <t>6. liczba wniosków ocenionych  negatywnie po ocenie merytorycznej</t>
    </r>
    <r>
      <rPr>
        <sz val="10"/>
        <rFont val="Arial"/>
        <family val="2"/>
      </rPr>
      <t xml:space="preserve"> (wniosek uzyskał poniżej 60 pkt lub/i poniżej 60%, w którymkolwiek kryterium oceny lub/i został odrzucony ze względu na niespełnienie kryteriów w części A KOM):</t>
    </r>
  </si>
  <si>
    <r>
      <t>7. liczba protestów od negatywnej oceny merytorycznej projektów</t>
    </r>
    <r>
      <rPr>
        <sz val="10"/>
        <rFont val="Arial"/>
        <family val="2"/>
      </rPr>
      <t xml:space="preserve">, które wpłynęły do IOK, 
</t>
    </r>
    <r>
      <rPr>
        <b/>
        <sz val="10"/>
        <rFont val="Arial"/>
        <family val="2"/>
      </rPr>
      <t>w tym:</t>
    </r>
  </si>
  <si>
    <r>
      <t>7. liczba odwołań od negatywnej oceny merytorycznej projektów</t>
    </r>
    <r>
      <rPr>
        <sz val="10"/>
        <rFont val="Arial"/>
        <family val="2"/>
      </rPr>
      <t xml:space="preserve"> (wniosek uzyskał poniżej 60 pkt lub/i poniżej 60%, w którymkolwiek kryterium oceny lub/i został odrzucony ze względu na niespełnienie kryteriów w części A KOM), które wpłynęły do IP, </t>
    </r>
    <r>
      <rPr>
        <b/>
        <sz val="10"/>
        <rFont val="Arial"/>
        <family val="2"/>
      </rPr>
      <t>w tym:</t>
    </r>
  </si>
  <si>
    <r>
      <t>7.1 rozpatrzonych</t>
    </r>
    <r>
      <rPr>
        <sz val="10"/>
        <rFont val="Arial"/>
        <family val="2"/>
      </rPr>
      <t xml:space="preserve"> (ogółem) </t>
    </r>
    <r>
      <rPr>
        <sz val="7"/>
        <rFont val="Arial"/>
        <family val="2"/>
      </rPr>
      <t xml:space="preserve">(3) </t>
    </r>
    <r>
      <rPr>
        <b/>
        <sz val="10"/>
        <rFont val="Arial"/>
        <family val="2"/>
      </rPr>
      <t xml:space="preserve">: </t>
    </r>
  </si>
  <si>
    <r>
      <t xml:space="preserve">7.1 rozpatrzonych </t>
    </r>
    <r>
      <rPr>
        <sz val="10"/>
        <rFont val="Arial"/>
        <family val="2"/>
      </rPr>
      <t xml:space="preserve">(ogółem) </t>
    </r>
    <r>
      <rPr>
        <sz val="7"/>
        <rFont val="Arial"/>
        <family val="2"/>
      </rPr>
      <t>(3)</t>
    </r>
    <r>
      <rPr>
        <sz val="10"/>
        <rFont val="Arial"/>
        <family val="2"/>
      </rPr>
      <t xml:space="preserve"> </t>
    </r>
    <r>
      <rPr>
        <b/>
        <sz val="10"/>
        <rFont val="Arial"/>
        <family val="2"/>
      </rPr>
      <t xml:space="preserve">: </t>
    </r>
  </si>
  <si>
    <t xml:space="preserve">7.1.1 pozytywnie: </t>
  </si>
  <si>
    <t xml:space="preserve">7.1.2 negatywnie: </t>
  </si>
  <si>
    <r>
      <t xml:space="preserve">7.2 pozostawionych bez rozpatrzenia </t>
    </r>
    <r>
      <rPr>
        <b/>
        <sz val="7"/>
        <rFont val="Arial"/>
        <family val="2"/>
      </rPr>
      <t xml:space="preserve">(3) </t>
    </r>
    <r>
      <rPr>
        <b/>
        <sz val="10"/>
        <rFont val="Arial"/>
        <family val="2"/>
      </rPr>
      <t xml:space="preserve">:  </t>
    </r>
  </si>
  <si>
    <r>
      <t xml:space="preserve">7.2 pozostawionych bez rozpatrzenia </t>
    </r>
    <r>
      <rPr>
        <b/>
        <sz val="7"/>
        <rFont val="Arial"/>
        <family val="2"/>
      </rPr>
      <t xml:space="preserve">(3) </t>
    </r>
    <r>
      <rPr>
        <b/>
        <sz val="10"/>
        <rFont val="Arial"/>
        <family val="2"/>
      </rPr>
      <t xml:space="preserve">: </t>
    </r>
  </si>
  <si>
    <t>7.3 wycofanych:</t>
  </si>
  <si>
    <t xml:space="preserve">7.4 w trakcie rozpatrywania: </t>
  </si>
  <si>
    <r>
      <t>8.</t>
    </r>
    <r>
      <rPr>
        <sz val="10"/>
        <rFont val="Arial"/>
        <family val="2"/>
      </rPr>
      <t xml:space="preserve"> </t>
    </r>
    <r>
      <rPr>
        <b/>
        <sz val="10"/>
        <rFont val="Arial"/>
        <family val="2"/>
      </rPr>
      <t>liczba wniosków z pkt 7.1.1, które po ponownej ocenie  w wyniku pozytywnego  rozpatrzenia protestu uzyskały dofinansowanie (podpisano umowy o dofinansowanie ralizacji projektu)</t>
    </r>
    <r>
      <rPr>
        <b/>
        <sz val="7"/>
        <rFont val="Arial"/>
        <family val="2"/>
      </rPr>
      <t xml:space="preserve"> </t>
    </r>
    <r>
      <rPr>
        <sz val="7"/>
        <rFont val="Arial"/>
        <family val="2"/>
      </rPr>
      <t>(4)</t>
    </r>
    <r>
      <rPr>
        <b/>
        <sz val="10"/>
        <rFont val="Arial"/>
        <family val="2"/>
      </rPr>
      <t xml:space="preserve"> :</t>
    </r>
  </si>
  <si>
    <r>
      <t xml:space="preserve">8. liczba wniosków z pkt 7.1.1, które po ponownej ocenie  w wyniku pozytywnego rozpatrzenia odwołania uzyskały dofinansowanie (podpisano umowy o dofinansowanie ralizacji projektu) </t>
    </r>
    <r>
      <rPr>
        <sz val="7"/>
        <rFont val="Arial"/>
        <family val="2"/>
      </rPr>
      <t>(4)</t>
    </r>
    <r>
      <rPr>
        <b/>
        <sz val="10"/>
        <rFont val="Arial"/>
        <family val="2"/>
      </rPr>
      <t xml:space="preserve"> : </t>
    </r>
  </si>
  <si>
    <t xml:space="preserve">OCENA  POWYŻEJ  MINIMUM  PUNKTOWEGO   </t>
  </si>
  <si>
    <r>
      <t>9. liczba wniosków, które po ocenie merytorycznej uzyskały powyżej 60 pkt i 60 % 
w każdym kryterium oceny lecz nie zostały remomendowane do dofinansowania z powodu wyczerpania alokacji w konkursie (lista rezerwowa)</t>
    </r>
    <r>
      <rPr>
        <sz val="10"/>
        <rFont val="Arial"/>
        <family val="2"/>
      </rPr>
      <t xml:space="preserve"> </t>
    </r>
    <r>
      <rPr>
        <sz val="7"/>
        <rFont val="Arial"/>
        <family val="2"/>
      </rPr>
      <t xml:space="preserve">(4) </t>
    </r>
    <r>
      <rPr>
        <sz val="10"/>
        <rFont val="Arial"/>
        <family val="2"/>
      </rPr>
      <t xml:space="preserve">:  </t>
    </r>
  </si>
  <si>
    <r>
      <t>10. liczba protestów od oceny ww. projektów</t>
    </r>
    <r>
      <rPr>
        <sz val="10"/>
        <rFont val="Arial"/>
        <family val="2"/>
      </rPr>
      <t xml:space="preserve">, które wpłynęły do IOK, </t>
    </r>
    <r>
      <rPr>
        <b/>
        <sz val="10"/>
        <rFont val="Arial"/>
        <family val="2"/>
      </rPr>
      <t xml:space="preserve">w tym: </t>
    </r>
  </si>
  <si>
    <t xml:space="preserve">10. liczba odwołań od oceny projektów, które po ocenie merytorycznej uzyskały powyżej 60 pkt 
i 60 % w każdym kryterium oceny lecz nie zostały remomendowane do dofinansowania z powodu wyczerpania alokacji w konkursie (lista rezerwowa) w tym: </t>
  </si>
  <si>
    <r>
      <t xml:space="preserve">10.1 rozpatrzonych (ogółem) </t>
    </r>
    <r>
      <rPr>
        <b/>
        <sz val="7"/>
        <rFont val="Arial"/>
        <family val="2"/>
      </rPr>
      <t>(3)</t>
    </r>
    <r>
      <rPr>
        <b/>
        <sz val="10"/>
        <rFont val="Arial"/>
        <family val="2"/>
      </rPr>
      <t xml:space="preserve"> : </t>
    </r>
  </si>
  <si>
    <r>
      <t xml:space="preserve">10.1 rozpatrzonych (ogółem) </t>
    </r>
    <r>
      <rPr>
        <sz val="7"/>
        <rFont val="Arial"/>
        <family val="2"/>
      </rPr>
      <t xml:space="preserve">(3) </t>
    </r>
    <r>
      <rPr>
        <sz val="10"/>
        <rFont val="Arial"/>
        <family val="2"/>
      </rPr>
      <t xml:space="preserve">: </t>
    </r>
  </si>
  <si>
    <t>10.1.1 pozytywnie:</t>
  </si>
  <si>
    <t xml:space="preserve">10.1.2 negatywnie </t>
  </si>
  <si>
    <t xml:space="preserve">10.1.1 pozytywnie: </t>
  </si>
  <si>
    <t xml:space="preserve">10.1.2 negatywnie: </t>
  </si>
  <si>
    <r>
      <t xml:space="preserve">10.2 pozostawionych bez rozpatrzenia </t>
    </r>
    <r>
      <rPr>
        <b/>
        <sz val="7"/>
        <rFont val="Arial"/>
        <family val="2"/>
      </rPr>
      <t>(3)</t>
    </r>
    <r>
      <rPr>
        <b/>
        <sz val="10"/>
        <rFont val="Arial"/>
        <family val="2"/>
      </rPr>
      <t xml:space="preserve"> : </t>
    </r>
  </si>
  <si>
    <r>
      <t xml:space="preserve">10.2 pozostawionych bez rozpatrzenia </t>
    </r>
    <r>
      <rPr>
        <b/>
        <sz val="7"/>
        <rFont val="Arial"/>
        <family val="2"/>
      </rPr>
      <t>(3)</t>
    </r>
    <r>
      <rPr>
        <b/>
        <sz val="10"/>
        <rFont val="Arial"/>
        <family val="2"/>
      </rPr>
      <t>:</t>
    </r>
  </si>
  <si>
    <t xml:space="preserve">10.3 wycofanych: </t>
  </si>
  <si>
    <t xml:space="preserve">10.4 w trakcie rozpatrywania: </t>
  </si>
  <si>
    <r>
      <t xml:space="preserve">11. liczba wniosków, z pkt 10.1.1, które po ponownej ocenie w wyniku pozytywnego  rozpatrzenia protestu uzyskały dofinansowanie (podpisano umowy o dofinansowanie ralizacji  projektu) </t>
    </r>
    <r>
      <rPr>
        <b/>
        <sz val="7"/>
        <rFont val="Arial"/>
        <family val="2"/>
      </rPr>
      <t>(4</t>
    </r>
    <r>
      <rPr>
        <sz val="7"/>
        <rFont val="Arial"/>
        <family val="2"/>
      </rPr>
      <t xml:space="preserve">) </t>
    </r>
    <r>
      <rPr>
        <b/>
        <sz val="10"/>
        <rFont val="Arial"/>
        <family val="2"/>
      </rPr>
      <t xml:space="preserve">: </t>
    </r>
  </si>
  <si>
    <r>
      <t xml:space="preserve">11. liczba wniosków, z pkt 10.1.1, które po ponownej ocenie w wyniku pozytywnego  rozpatrzenia odwołania uzyskały dofinansowanie (podpisano umowy o dofinansowanie ralizacji  projektu) </t>
    </r>
    <r>
      <rPr>
        <sz val="7"/>
        <rFont val="Arial"/>
        <family val="2"/>
      </rPr>
      <t>(4)</t>
    </r>
    <r>
      <rPr>
        <sz val="10"/>
        <rFont val="Arial"/>
        <family val="2"/>
      </rPr>
      <t xml:space="preserve"> </t>
    </r>
    <r>
      <rPr>
        <b/>
        <sz val="10"/>
        <rFont val="Arial"/>
        <family val="2"/>
      </rPr>
      <t xml:space="preserve">: </t>
    </r>
  </si>
  <si>
    <t xml:space="preserve">INNE DANE </t>
  </si>
  <si>
    <t xml:space="preserve">ODWOŁANIA I 
PROTESTY </t>
  </si>
  <si>
    <r>
      <t xml:space="preserve">12. liczba wniosków, do których złożono  protesty zarówno na etapie oceny formalnej, jak i merytorycznej </t>
    </r>
    <r>
      <rPr>
        <b/>
        <sz val="7"/>
        <rFont val="Arial"/>
        <family val="2"/>
      </rPr>
      <t xml:space="preserve">(7) </t>
    </r>
    <r>
      <rPr>
        <b/>
        <sz val="10"/>
        <rFont val="Arial"/>
        <family val="2"/>
      </rPr>
      <t xml:space="preserve">: </t>
    </r>
  </si>
  <si>
    <r>
      <t xml:space="preserve">12. liczba wniosków, do których złożono odwołanie zarówno na etapie oceny formalnej, jak i merytorycznej </t>
    </r>
    <r>
      <rPr>
        <b/>
        <sz val="7"/>
        <rFont val="Arial"/>
        <family val="2"/>
      </rPr>
      <t>(7)</t>
    </r>
    <r>
      <rPr>
        <b/>
        <sz val="10"/>
        <rFont val="Arial"/>
        <family val="2"/>
      </rPr>
      <t xml:space="preserve"> : </t>
    </r>
  </si>
  <si>
    <t>SKARGI</t>
  </si>
  <si>
    <t xml:space="preserve">Dane w tabeli należy przedstawić narastająco od początku realizacji Działania. </t>
  </si>
  <si>
    <t>Liczba pracowników o niskich kwalifikacjach, którzy zakończyli udział w projektach</t>
  </si>
  <si>
    <t>Działanie 4.3</t>
  </si>
  <si>
    <t>Liczba pracowników administracji publicznej, którzy ukończyli udział w projektach w zakresie poprawy jakości usług oraz polityk związanych z rejestracją działalności gospodarczej i funkcjonowaniem przedsiębiorstw w ramach projektu</t>
  </si>
  <si>
    <t>Odsetek dysponentów I stopnia środków budżetowych państwa, którzy byli objęci wsparciem w zakresie przygotowania i wdrożenia wieloletniego planowania budżetowego w ujęciu zadaniowym</t>
  </si>
  <si>
    <t>Wskaźnik efektywności zatrudnieniowej*</t>
  </si>
  <si>
    <t>*dot. działań obejmujących outplacement</t>
  </si>
  <si>
    <t>** dane w wierszu 3 dot. osób w wieku 15-24 lata dot. projektów, dla których wniosek o dofinansowanie został złożony do końca 2012 r., natomiast dane dot. osób w wieku 15-30 lata dot. projektów, dla których wniosek o dofinansowanie został złożony od początku 2013 r.</t>
  </si>
  <si>
    <t>Odsetek dysponentów II stopnia środków budżetowych państwa, którzy byli objęci wsparciem w zakresie przygotowania i wdrożenia wieloletniego planowania budżetowego w ujęciu zadaniowym</t>
  </si>
  <si>
    <t>Odsetek dysponentów III stopnia środków budżetowych państwa, którzy byli objęci wsparciem w zakresie przygotowania i wdrożenia wieloletniego planowania budżetowego w ujęciu zadaniowym</t>
  </si>
  <si>
    <t>Liczba pracowników administracji samorządowej, którzy ukończyli udział w projektach w zakresie poprawy zdolności regulacyjnych w ramach projektu</t>
  </si>
  <si>
    <t xml:space="preserve">Liczba instytucji administracji publicznej, które były objęte wsparciem w zakresie poprawy standardów zarządzania w podziale na: </t>
  </si>
  <si>
    <t>Odsetek dysponentów środków budżetów JST, którzy byli objęci wsparciem w zakresie przygotowania i wdrożenia wieloletniego planowania budżetowego w ujęciu zadaniowym</t>
  </si>
  <si>
    <t>Liczba centrów wsparcia organizacji pozarządowych nowoutworzonych lub wspartych w ramach projektu</t>
  </si>
  <si>
    <t xml:space="preserve">Liczba kwalifikacji odniesionych do poziomów w Polskich Ramach Kwalifikacji </t>
  </si>
  <si>
    <t>Działanie 3.5</t>
  </si>
  <si>
    <t>Liczba szkół i przedszkoli objętych pilotażem w zakresie zmodernizowanego systemu doskonalenia nauczycieli jako elementu wsparcia, w podziale na:</t>
  </si>
  <si>
    <t>a) szkoły</t>
  </si>
  <si>
    <t xml:space="preserve">b) przedszkola </t>
  </si>
  <si>
    <t xml:space="preserve">Liczba szkół podstawowych, które zrealizowały projekty dotyczące indywidualizacji nauczania </t>
  </si>
  <si>
    <t>Działanie 9.6</t>
  </si>
  <si>
    <t>Liczba osób, które skorzystały z instrumentów zwrotnych</t>
  </si>
  <si>
    <t>Osiągnięta wartość wskaźnika efektywności zatrudnieniowej w ramach Działania (%)</t>
  </si>
  <si>
    <t>Liczba osób dorosłych w wieku 25-64 lat, które uczestniczyły w kształceniu ustawicznym w ramach Działania</t>
  </si>
  <si>
    <r>
      <t xml:space="preserve">Zgodnie ze </t>
    </r>
    <r>
      <rPr>
        <i/>
        <sz val="9"/>
        <rFont val="Arial"/>
        <family val="2"/>
      </rPr>
      <t>Szczegółowym Opisem Priorytetów PO KL</t>
    </r>
    <r>
      <rPr>
        <sz val="9"/>
        <rFont val="Arial"/>
        <family val="2"/>
      </rPr>
      <t xml:space="preserve"> ilekroć jest mowa o przedsiębiorcy, rozumie się przez to przedsiębiorcę w rozumieniu art. 4 ustawy z dnia 2 lipca 2004 r. o swobodzie działalności gospodarczej (Dz. U. z 2010 r. Nr 220, poz. 1447),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r>
  </si>
  <si>
    <r>
      <t xml:space="preserve">Docelowa wartość wskaźnika – </t>
    </r>
    <r>
      <rPr>
        <sz val="9"/>
        <rFont val="Arial"/>
        <family val="2"/>
      </rPr>
      <t xml:space="preserve">wartość określona na 2013 rok. Dla wybranych wskaźników monitorowanych w niniejszym sprawozdaniu nie określono wartości docelowych, w związku z czym w kolumnie 3 wskazano </t>
    </r>
    <r>
      <rPr>
        <i/>
        <sz val="9"/>
        <rFont val="Arial"/>
        <family val="2"/>
      </rPr>
      <t xml:space="preserve">"Nie określono", 
</t>
    </r>
    <r>
      <rPr>
        <sz val="9"/>
        <rFont val="Arial"/>
        <family val="2"/>
      </rPr>
      <t xml:space="preserve">zaś w kolumnie 10 – </t>
    </r>
    <r>
      <rPr>
        <i/>
        <sz val="9"/>
        <rFont val="Arial"/>
        <family val="2"/>
      </rPr>
      <t>"Nie dotyczy".</t>
    </r>
    <r>
      <rPr>
        <b/>
        <sz val="9"/>
        <rFont val="Arial"/>
        <family val="2"/>
      </rPr>
      <t xml:space="preserve">
Stopień realizacji wskaźnika </t>
    </r>
    <r>
      <rPr>
        <sz val="9"/>
        <rFont val="Arial"/>
        <family val="2"/>
      </rPr>
      <t>– wyrażony w % jest relacją osiągniętej wartości wskaźnika w stosunku do jego wartości docelowej.</t>
    </r>
  </si>
  <si>
    <t>Liczba przedsiębiorstw, które zostały objęte wsparciem w zakresie projektów szkoleniowych</t>
  </si>
  <si>
    <t xml:space="preserve"> Liczba osób zwolnionych w przedsiębiorstwach dotkniętych procesami restrukturyzacyjnymi, którzy zostali objęci działaniami szybkiego reagowania</t>
  </si>
  <si>
    <t>Liczba przedsiębiorstw, którym udzielono wsparcia w zakresie skutecznego przewidywania i zarządzania zmianą</t>
  </si>
  <si>
    <t>- w tym osoby przebywające w zakładach poprawczych i schroniskach dla nieletnich</t>
  </si>
  <si>
    <t>Działanie 1.4</t>
  </si>
  <si>
    <t>Działanie 1.5</t>
  </si>
  <si>
    <t>Liczba podmiotów ekonomii społecznej, które skorzystały ze wsparcia finansowego w ramach Priorytetu</t>
  </si>
  <si>
    <t>Liczba osób, które powróciły na rynek pracy po przerwie związanej z urodzeniem/wychowaniem dziecka w wyniku udzielonego wsparcia w ramach Priorytetu</t>
  </si>
  <si>
    <t>Załącznik nr 9. Informacja o wykonaniu wskaźnika efektywności zatrudnieniowej w ramach Działania</t>
  </si>
  <si>
    <t xml:space="preserve">Liczba pracowników instytucji pomocy i integracji społecznej bezpośrednio zajmujących się aktywną integracją, którzy w wyniku wsparcia z EFS podnieśli swoje kwalifikacje </t>
  </si>
  <si>
    <t>Liczba instytucji wspierających ekonomię społeczną, które otrzymały wsparcie w ramach Działania, funkcjonujących co najmniej 2 lata po zakończeniu udziału w projekcie</t>
  </si>
  <si>
    <t>Liczba podmiotów ekonomii społecznej, które otrzymały wsparcie z EFS za pośrednictwem instytucji wspierających ekonomię społeczną</t>
  </si>
  <si>
    <t>Liczba podmiotów ekonomii społecznej utworzonych dzięki wsparciu z EFS</t>
  </si>
  <si>
    <t>Działanie 7.4</t>
  </si>
  <si>
    <t>Liczba osób niepełnosprawnych, które zakończyły udział w projektach realizowanych w ramach Działania</t>
  </si>
  <si>
    <r>
      <t xml:space="preserve">Tabela 7.1 Wartość udzielonej (umowy/decyzje) i wypłaconej pomocy publicznej oraz pomocy </t>
    </r>
    <r>
      <rPr>
        <b/>
        <i/>
        <sz val="11"/>
        <rFont val="Arial"/>
        <family val="2"/>
      </rPr>
      <t>de minimis</t>
    </r>
    <r>
      <rPr>
        <b/>
        <sz val="11"/>
        <rFont val="Arial"/>
        <family val="2"/>
      </rPr>
      <t xml:space="preserve"> od uruchomienia Programu Operacyjnego Kapitał Ludzki w podziale na Działania i podstawę udzielenia pomocy (na podstawie KSI SIMIK 07-13)</t>
    </r>
  </si>
  <si>
    <r>
      <t xml:space="preserve">Tabela 7.2 Wartość udzielonej (umowy/decyzje) i wypłaconej pomocy publicznej oraz pomocy </t>
    </r>
    <r>
      <rPr>
        <b/>
        <i/>
        <sz val="11"/>
        <rFont val="Arial"/>
        <family val="2"/>
      </rPr>
      <t>de minimis</t>
    </r>
    <r>
      <rPr>
        <b/>
        <sz val="11"/>
        <rFont val="Arial"/>
        <family val="2"/>
      </rPr>
      <t xml:space="preserve"> na rzecz mikro, małych i średnich przedsiębiorstw (MŚP) od uruchomienia Programu Operacyjnego Kapitał Ludzki w podziale na Działania</t>
    </r>
  </si>
  <si>
    <t>Załącznik nr 8. Protesty/ odwołania</t>
  </si>
  <si>
    <t>Liczba przedstawicieli partnerów społecznych, którzy zostali objęci wsparciem w ramach Działania</t>
  </si>
  <si>
    <t>Grupa docelowa</t>
  </si>
  <si>
    <t>Liczba osób, które znalazły lub kontynuują zatrudnienie</t>
  </si>
  <si>
    <t>10=(7/4)*100</t>
  </si>
  <si>
    <t>11=(8/5)*100</t>
  </si>
  <si>
    <t>Wskaźnik efektywności zatrudnieniowej ogółem</t>
  </si>
  <si>
    <t>w tym osoby niekwalifikujące się do żadnej z poniższych grup docelowych (pkt. 3-6)</t>
  </si>
  <si>
    <t>w tym osoby w wieku 50-64 lata</t>
  </si>
  <si>
    <t>Wskaźnik efektywności zatrudnieniowej</t>
  </si>
  <si>
    <t>Liczba osób, które otrzymały bezzwrotne dotacje</t>
  </si>
  <si>
    <t>a) w tym w zakresie form szkolnych</t>
  </si>
  <si>
    <t xml:space="preserve">b) w tym w zakresie języków obcych </t>
  </si>
  <si>
    <t>c) w tym w zakresie ICT</t>
  </si>
  <si>
    <t>Liczba osób dorosłych, które skorzystały z usług doradztwa edukacyjno-szkoleniowego</t>
  </si>
  <si>
    <t xml:space="preserve">13. liczba wniosków, do których złożono skargę do WSA: </t>
  </si>
  <si>
    <t xml:space="preserve">14. liczba wniosków, do których złożono skargę do NSA: </t>
  </si>
  <si>
    <t>UWAGI DOTYCZĄCE SPOSOBU WYPEŁNIANIA TABELI:</t>
  </si>
  <si>
    <t xml:space="preserve">(1) - przy ustalaniu danych liczbowych należy brać pod uwagę datę wpływu wniosku do instytucji. </t>
  </si>
  <si>
    <t xml:space="preserve">(2) - w tym wnioski cofnięte z oceny merytorycznej.   </t>
  </si>
  <si>
    <t>(3) - przy ustalaniu danych liczbowych należy brać pod uwagę datę nadania w urzędzie pisma zawierającego informacje o wyniku rozpatrzenia  - datę kancelaryjną.</t>
  </si>
  <si>
    <t xml:space="preserve">(4) - przy ustalaniu danych liczbowych należy brać pod uwagę datę zatwierdzenia odpowiedniej listy rankingowej przez właściwy organ. </t>
  </si>
  <si>
    <t xml:space="preserve">(5) - przy ustalaniu danych liczbowych należy brać pod uwagę stan na dzień rozpoczęcia prac KOP. </t>
  </si>
  <si>
    <t xml:space="preserve">(6) - należy uwzględnić jedynie wnioski, którym zgodnie z systemem realizacji PO KL przysługuje wniesienie środka odwoławczego od wyniku oceny merytorycznej.   </t>
  </si>
  <si>
    <r>
      <t xml:space="preserve">(7) - liczba przypadków, gdy </t>
    </r>
    <r>
      <rPr>
        <u val="single"/>
        <sz val="10"/>
        <rFont val="Arial"/>
        <family val="2"/>
      </rPr>
      <t>do tego samego wniosku</t>
    </r>
    <r>
      <rPr>
        <sz val="10"/>
        <rFont val="Arial"/>
        <family val="2"/>
      </rPr>
      <t xml:space="preserve"> </t>
    </r>
    <r>
      <rPr>
        <sz val="10"/>
        <rFont val="Arial"/>
        <family val="2"/>
      </rPr>
      <t>złożono protest od oceny formalnej i merytorycznej.</t>
    </r>
  </si>
  <si>
    <t xml:space="preserve">Liczba osób, które otrzymały wsparcie w ramach instytucji ekonomii społecznej </t>
  </si>
  <si>
    <t>- w tym na obszarach miejskich</t>
  </si>
  <si>
    <t>- w tym na obszarach wiejskich</t>
  </si>
  <si>
    <t>- w tym nauczyciele na obszarach wiejskich</t>
  </si>
  <si>
    <t>- w tym nauczyciele kształcenia zawodowego</t>
  </si>
  <si>
    <t>ponadgimnazjalne</t>
  </si>
  <si>
    <t>Liczba programów profilaktycznych oraz programów wspierających powrót do pracy opracowanych w ramach Działania</t>
  </si>
  <si>
    <t>Liczba pielęgniarek i położnych, które ukończyły studia pomostowe w ramach Działania</t>
  </si>
  <si>
    <t>Liczba lekarzy deficytowych specjalizacji, którzy ukończyli w ramach Działania pełen cykl kursów w ramach realizacji programu specjalizacji</t>
  </si>
  <si>
    <t>Liczba przedstawicieli kadry zarządzającej oraz dysponentów środków publicznych w sektorze zdrowia, którzy zakończyli szkolenie z zakresu zarządzania w ramach Działania</t>
  </si>
  <si>
    <t>Liczba jednostek służby zdrowia, których przedstawiciele kadry zarządzającej ukończyli szkolenia z zakresu zarządzania w ramach Działania</t>
  </si>
  <si>
    <t>Liczba jednostek prowadzących doskonalenie nauczycieli, które otrzymały wsparcie w ramach Działania w celu uzyskania akredytacji</t>
  </si>
  <si>
    <t>mikro</t>
  </si>
  <si>
    <t>Liczba nauczycieli kształcenia zawodowego oraz instruktorów praktycznej nauki zawodu, którzy uczestniczyli w trwających co najmniej dwa tygodnie stażach i praktykach w przedsiębiorstwach w ramach Działania</t>
  </si>
  <si>
    <t>Liczba instytucji szkolnictwa wyższego, które wdrożyły modele zarządzania jakością i kontroli jakości w ramach Działania</t>
  </si>
  <si>
    <t>Liczba pracowników sektora B+R, którzy ukończyli szkolenie w zakresie zarządzania badaniami naukowymi i komercjalizacji wyników prac badawczo-rozwojowych w ramach Działania</t>
  </si>
  <si>
    <t>Liczba przedsiębiorstw, których pracownicy zakończyli udział w szkoleniach w ramach Działania</t>
  </si>
  <si>
    <t>Liczba ośrodków wychowania przedszkolnego, które uzyskały wsparcie w ramach Działania</t>
  </si>
  <si>
    <t>Liczba nauczycieli, którzy uczestniczyli w doskonaleniu zawodowym w krótkich formach</t>
  </si>
  <si>
    <t>Liczba uczniów w szkołach prowadzących kształcenie zawodowe, którzy zakończyli udział w stażach i praktykach w ramach Działania</t>
  </si>
  <si>
    <t>w tym zatrudnieni w administracji publicznej</t>
  </si>
  <si>
    <t>w tym zatrudnieni w organizacjach pozarządowych</t>
  </si>
  <si>
    <t>…</t>
  </si>
  <si>
    <t>Rodzaj przedsiębiorstwa</t>
  </si>
  <si>
    <t>Wykształcenia</t>
  </si>
  <si>
    <t>Liczba osób, które:</t>
  </si>
  <si>
    <t>rozpoczęły udział w projektach 
realizowanych w ramach Działania</t>
  </si>
  <si>
    <t>zakończyły udział w projektach realizowanych w ramach 
Działania</t>
  </si>
  <si>
    <t>kontynuują udział w projektach 
realizowanych w ramach Działania na koniec okresu objętego sprawozdaniem</t>
  </si>
  <si>
    <t>przerwały udział w projektach realizowanych w ramach 
Działania</t>
  </si>
  <si>
    <t xml:space="preserve">Liczba przedsiębiorstw </t>
  </si>
  <si>
    <t>w tym osoby z terenów wiejskich</t>
  </si>
  <si>
    <t>osoby młode (15-24 lata)</t>
  </si>
  <si>
    <t xml:space="preserve">Małe przedsiębiorstwa </t>
  </si>
  <si>
    <t>Średnie przedsiębiorstwa</t>
  </si>
  <si>
    <t>w tym zatrudnieni 
w małych przedsiębiorstwach</t>
  </si>
  <si>
    <t>w tym zatrudnieni 
w średnich przedsiębiorstwach</t>
  </si>
  <si>
    <t>Liczba pracowników nadzoru pedagogicznego, którzy zakończyli udział w projekcie w ramach Działania</t>
  </si>
  <si>
    <t>Liczba szkół i placówek kształcenia zawodowego, które wdrożyły programy rozwojowe</t>
  </si>
  <si>
    <t>Liczba dzieci w wieku 3-5 lat, które uczestniczyły w różnych formach edukacji przedszkolnej na obszarach wiejskich</t>
  </si>
  <si>
    <t>6=7+8+9</t>
  </si>
  <si>
    <t>Nie określono</t>
  </si>
  <si>
    <t>Działanie 1.1</t>
  </si>
  <si>
    <t>W przypadku projektów systemowych realizowanych w ramach Poddziałania 6.1.3 w tabeli należy uwzględniać wartości narastająco od początku realizacji projektu.</t>
  </si>
  <si>
    <t>Nr Działania</t>
  </si>
  <si>
    <t>UWAGA:
W tabeli należy ujmować przedsiębiorstwa, które otrzymały wsparcie w formie doposażenia i wyposażenia stanowisk pracy dla skierowanych bezrobotnych w ramach Poddziałania 6.1.3.</t>
  </si>
  <si>
    <t xml:space="preserve">Monitorowanie pomocy publicznej powinno być prowadzone zgodne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w rozporządzeniu Ministra Rozwoju Regionalnego w sprawie udzielania przez Polską Agencję Rozwoju Przedsiębiorczości pomocy finansowej w ramach Programu Operacyjnego Kapitał Ludzki. </t>
  </si>
  <si>
    <t>Program pomocowy/ inna podstawa udzielenia pomocy</t>
  </si>
  <si>
    <t>wg podpisanych umów / wydanych decyzji</t>
  </si>
  <si>
    <t>wg zrealizowanych wniosków o płatność</t>
  </si>
  <si>
    <t>kwota ogółem 
MŚP</t>
  </si>
  <si>
    <t>w tym wg wielkości przedsiębiorstwa</t>
  </si>
  <si>
    <t>małe</t>
  </si>
  <si>
    <t>średnie</t>
  </si>
  <si>
    <t>kwota</t>
  </si>
  <si>
    <t>Działanie 1.2</t>
  </si>
  <si>
    <t>Działanie 1.3</t>
  </si>
  <si>
    <t>Działanie 2.1</t>
  </si>
  <si>
    <t>Działanie 2.2</t>
  </si>
  <si>
    <t>Działanie 2.3</t>
  </si>
  <si>
    <t>Działanie 3.1</t>
  </si>
  <si>
    <t>Działanie 3.2</t>
  </si>
  <si>
    <t>Działanie 3.3</t>
  </si>
  <si>
    <t>Działanie 3.4</t>
  </si>
  <si>
    <t>Działanie 4.1</t>
  </si>
  <si>
    <t>Liczba studentów, którzy ukończyli staże lub praktyki, wspierane ze środków EFS w ramach Działania</t>
  </si>
  <si>
    <t>Liczba studentów, którzy ukończyli staże lub praktyki trwające co najmniej 3 miesiące</t>
  </si>
  <si>
    <t>Działanie 4.2</t>
  </si>
  <si>
    <t>Działanie 5.1</t>
  </si>
  <si>
    <t>-  w tym ministerstwa i urzędy centralne</t>
  </si>
  <si>
    <t>-  w tym urzędy wojewódzkie</t>
  </si>
  <si>
    <t>Działanie 5.2</t>
  </si>
  <si>
    <t>Działanie 5.4</t>
  </si>
  <si>
    <t>Liczba przedstawicieli organizacji pozarządowych, którzy ukończyli udział w projekcie w ramach Działania</t>
  </si>
  <si>
    <t>Działanie 5.5</t>
  </si>
  <si>
    <t>Liczba przedstawicieli partnerów społecznych, którzy ukończyli udział w projekcie w ramach Działania</t>
  </si>
  <si>
    <t>Działanie 6.1</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</si>
  <si>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</si>
  <si>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</si>
  <si>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</si>
  <si>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</si>
  <si>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 xml:space="preserve">    c) w tym liczba osób z terenów wiejskich </t>
  </si>
  <si>
    <t>- w tym przekazanych osobom znajdującym się w szczególnie trudnej sytuacji na rynku pracy</t>
  </si>
  <si>
    <t xml:space="preserve">    a) w tym osobom niepełnosprawnym </t>
  </si>
  <si>
    <t xml:space="preserve">    b) w tym osobom długotrwale bezrobotnym</t>
  </si>
  <si>
    <t xml:space="preserve">    b) w tym osobom z terenów wiejskich</t>
  </si>
  <si>
    <t>Działanie 6.2</t>
  </si>
  <si>
    <t xml:space="preserve">    c) w tym osobom z terenów wiejskich</t>
  </si>
  <si>
    <t>Działanie 6.3</t>
  </si>
  <si>
    <t>Działanie 7.1</t>
  </si>
  <si>
    <t>Działanie 7.2</t>
  </si>
  <si>
    <t>Liczba osób zagrożonych wykluczeniem społecznym, które zakończyły udział w Działaniu</t>
  </si>
  <si>
    <t>Działanie 7.3</t>
  </si>
  <si>
    <t>Działanie 8.1</t>
  </si>
  <si>
    <t>Działanie 8.2</t>
  </si>
  <si>
    <t>Działanie 9.1</t>
  </si>
  <si>
    <t>Działanie 9.2</t>
  </si>
  <si>
    <t>Działanie 9.4</t>
  </si>
  <si>
    <t>Działanie 9.5</t>
  </si>
  <si>
    <t>Liczba oddolnych inicjatyw społecznych podejmowanych  w ramach Działania</t>
  </si>
  <si>
    <t>Numer Działania</t>
  </si>
  <si>
    <t>Nie dotyczy</t>
  </si>
  <si>
    <t>Liczba przedsiębiorstw i osób zamierzających rozpocząć działalność gospodarczą, które skorzystały z usług świadczonych w akredytowanych instytucjach</t>
  </si>
  <si>
    <t>Liczba osób, które ukończyły udział w stażach lub szkoleniach praktycznych w podziale na:</t>
  </si>
  <si>
    <t>- pracowników przedsiębiorstw w jednostkach naukowych</t>
  </si>
  <si>
    <t xml:space="preserve">- pracowników naukowych w przedsiębiorstwach </t>
  </si>
  <si>
    <t>w tym osoby należące do mniejszości narodowych i etnicznych</t>
  </si>
  <si>
    <t>Inne wskaźniki określone dla Działania w Planie Działania</t>
  </si>
  <si>
    <t>Kolumna 3 przedstawia liczbę przedsiębiorstw, które przystąpiły do udziału w projektach realizowanych w ramach Działania w okresie sprawozdawczym, zaś kolumna 4 przedstawia liczbę przedsiębiorstw narastająco.</t>
  </si>
  <si>
    <t>Mikroprzedsiębiorstwa 
(w tym samozatrudnieni)*</t>
  </si>
  <si>
    <t>..</t>
  </si>
  <si>
    <t>Jeśli dane dotyczące wskaźników w okresie składania sprawozdania nie są dostępne, należy pod tabelą zamieścić komentarz, w jakim terminie będą mogły zostać przedstawione.</t>
  </si>
  <si>
    <t>K – kobiety, M – mężczyźni</t>
  </si>
  <si>
    <t>Liczba urzędów administracji rządowej, które były objęte wsparciem w zakresie poprawy standarów zarządzania</t>
  </si>
  <si>
    <t>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t>
  </si>
  <si>
    <t>Mr – wartość wskaźnika osiągnięta w okresie sprawozdawczym (wg stanu na koniec tego okresu)</t>
  </si>
  <si>
    <t>Nazwa instytucji</t>
  </si>
  <si>
    <t>Okres sprawozdawczy</t>
  </si>
  <si>
    <t>Ogółem</t>
  </si>
  <si>
    <t>Data:</t>
  </si>
  <si>
    <t>Pieczęć i podpis osoby upoważnionej:</t>
  </si>
  <si>
    <t>Nazwa wskaźnika</t>
  </si>
  <si>
    <t>K</t>
  </si>
  <si>
    <t>M</t>
  </si>
  <si>
    <t>Komentarz</t>
  </si>
  <si>
    <t>M – Mężczyźni, K – Kobiety</t>
  </si>
  <si>
    <t>Mr – wartość wskaźnika osiągnięta w okresie objętym sprawozdaniem (wg stanu na koniec tego okresu)</t>
  </si>
  <si>
    <t>Mp – wartość wskaźnika osiągnięta od początku realizacji Działania</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</si>
  <si>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</si>
  <si>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</si>
  <si>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</si>
  <si>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</si>
  <si>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</si>
  <si>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</si>
  <si>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</si>
  <si>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</si>
  <si>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</si>
  <si>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</si>
  <si>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</si>
  <si>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</si>
  <si>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t>w tym zatrudnieni 
w dużych przedsiębiorstwach</t>
  </si>
  <si>
    <t>Duże przedsiębiorstwa</t>
  </si>
  <si>
    <t>w tym osoby niepełnosprawne</t>
  </si>
  <si>
    <t>w tym migranci</t>
  </si>
  <si>
    <t>PRIORYTET I</t>
  </si>
  <si>
    <t>Liczba kluczowych pracowników PSZ, którzy w wyniku udzielonego wsparcia podnieśli swoje kwalifikacje</t>
  </si>
  <si>
    <t>Liczba kluczowych pracowników instytucji pomocy społecznej, którzy w wyniku udzielonego wsparcia podnieśli swoje kwalifikacje</t>
  </si>
  <si>
    <t>PRIORYTET II</t>
  </si>
  <si>
    <t>Liczba pracowników przedsiębiorstw, którzy zakończyli udział w projektach szkoleniowych</t>
  </si>
  <si>
    <t>Liczba pracowników zagrożonych negatywnymi skutkami procesów restrukturyzacji (zmiany gospodarczej), którzy zostali objęci działaniami szybkiego reagowania</t>
  </si>
  <si>
    <t>PRIORYTET III</t>
  </si>
  <si>
    <t>PRIORYTET IV</t>
  </si>
  <si>
    <t>Liczba programów rozwojowych wdrożonych przez uczelnie w ramach Działania</t>
  </si>
  <si>
    <t>Liczba uczelni, które wdrożyły programy rozwojowe</t>
  </si>
  <si>
    <t>Liczba studentów I roku na kierunkach zamawianych przez ministra właściwego ds. szkolnictwa wyższego</t>
  </si>
  <si>
    <t>Liczba absolwentów kierunków matematyczno-przyrodniczych i technicznych,  zamawianych przez ministra właściwego ds. szkolnictwa wyższego</t>
  </si>
  <si>
    <t>PRIORYTET V</t>
  </si>
  <si>
    <t>PRIORYTET VI</t>
  </si>
  <si>
    <t>Liczba osób, które zakończyły udział w projektach realizowanych w ramach Działania</t>
  </si>
  <si>
    <t>PRIORYTET VII</t>
  </si>
  <si>
    <t xml:space="preserve">Liczba klientów instytucji pomocy społecznej, którzy zakończyli udział w projektach dotyczących aktywnej integracji </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</si>
  <si>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</si>
  <si>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</si>
  <si>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</si>
  <si>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doktorantów, którzy otrzymali stypendia naukowe</t>
  </si>
  <si>
    <t>PRIORYTET IX</t>
  </si>
  <si>
    <t>Liczba instytucji pomocy społecznej, które uczestniczyły w projektach systemowych, mających na celu wdrożenie standardów usług</t>
  </si>
  <si>
    <t>Liczba przedsiębiorstw, które zostały objęte wsparciem</t>
  </si>
  <si>
    <r>
      <t xml:space="preserve">Załącznik nr 7. Wartość udzielonej i wypłaconej pomocy publicznej oraz pomocy </t>
    </r>
    <r>
      <rPr>
        <b/>
        <i/>
        <sz val="11"/>
        <rFont val="Arial"/>
        <family val="2"/>
      </rPr>
      <t>de minimis</t>
    </r>
    <r>
      <rPr>
        <b/>
        <sz val="11"/>
        <rFont val="Arial"/>
        <family val="2"/>
      </rPr>
      <t xml:space="preserve"> w ramach Programu Operacyjnego Kapitał Ludzki (w PLN)</t>
    </r>
  </si>
  <si>
    <t>Liczba przedsiębiorstw, które inwestowały w szkolenia pracowników dzięki wsparciu EFS</t>
  </si>
  <si>
    <t xml:space="preserve">Liczba organizacji reprezentatywnych partnerów społecznych, które otrzymały wsparcie </t>
  </si>
  <si>
    <t>Liczba chorób zawodowych (wg jednostek chorobowych), dla których opracowano programy profilaktyczne i programy wspierające powrót do pracy</t>
  </si>
  <si>
    <t>Liczba szkół, w których upowszechniono narzędzie i metodologię pomiaru EWD (edukacyjnej wartości dodanej)</t>
  </si>
  <si>
    <t>Liczba jednostek prowadzących kształcenie nauczycieli (tj. szkół wyższych oraz kolegiów nauczycielskich), które zastosowały nowe formy i zasady kształcenia nauczycieli</t>
  </si>
  <si>
    <t>Liczba osób, które otrzymały:</t>
  </si>
  <si>
    <t xml:space="preserve">Liczba utworzonych miejsc pracy w ramach udzielonych z EFS środków na podjęcie działalności gospodarczej </t>
  </si>
  <si>
    <t xml:space="preserve">Liczba podstaw programowych na poziomie szkoły podstawowej, gimnazjum i szkoły ponadgimnazjalnej objętych przeglądem w celu lepszego ich zorientowania na potrzeby rynku pracy  </t>
  </si>
  <si>
    <t xml:space="preserve">Liczba opracowanych i upowszechnionych innowacyjnych programów nauczania w zakresie przedsiębiorczości, przedmiotów matematyczno-przyrodniczych i technicznych  </t>
  </si>
  <si>
    <t>Liczba uczelni oferujących dodatkowe zajęcia wyrównawcze dla studentów I roku kierunków matematyczno-przyrodniczych i technicznych</t>
  </si>
  <si>
    <t>Liczba powiatów, na terenie których wdrożono programy z zakresu bezpłatnego poradnictwa prawnego i obywatelskiego</t>
  </si>
  <si>
    <t>Liczba reprezentatywnych organizacji partnerów społecznych, które były objęte wsparciem w zakresie budowania ich potencjału</t>
  </si>
  <si>
    <t>Liczba szkół (podstawowych, gimnazjów i ponadgimnazjalnych prowadzących kształcenie ogólne), które zrealizowały projekty rozwojowe w ramach Działania</t>
  </si>
  <si>
    <t xml:space="preserve">Liczba szkół i placówek kształcenia zawodowego, które współpracowały z przedsiębiorstwami w zakresie wdrażania programów rozwojowych </t>
  </si>
  <si>
    <t xml:space="preserve">Liczba utworzonych miejsc pracy w  ramach udzielonych z EFS środków na podjęcie działalności gospodarczej </t>
  </si>
  <si>
    <t>Przedział wiekowy</t>
  </si>
  <si>
    <t>w tym rolnicy</t>
  </si>
  <si>
    <t>pomaturalne</t>
  </si>
  <si>
    <t>wyższe</t>
  </si>
  <si>
    <t>podstawowe, gimnazjalne
i niższe</t>
  </si>
  <si>
    <t>L.p.</t>
  </si>
  <si>
    <t>Wartość docelowa wskaźnika</t>
  </si>
  <si>
    <t>Stopień realizacji wskaźnika</t>
  </si>
  <si>
    <t>10=(9/3)*100</t>
  </si>
  <si>
    <t>Liczba instytucji publicznych służb zatrudnienia, które uczestniczyły w projektach mających na celu wdrożenie standardów usług</t>
  </si>
  <si>
    <r>
      <t>liczba osób, które zakończyły udział w Działaniu</t>
    </r>
    <r>
      <rPr>
        <sz val="9"/>
        <rFont val="Arial"/>
        <family val="2"/>
      </rPr>
      <t xml:space="preserve"> - dot. uczestników, którzy zakończyli udział w Działaniu od roku, w którym w Planach działania wprowadzono kryteria dot. pomiaru efektywności zatrudnieniowej
</t>
    </r>
    <r>
      <rPr>
        <b/>
        <sz val="9"/>
        <rFont val="Arial"/>
        <family val="2"/>
      </rPr>
      <t>W kol. 3-5 należy wykazać osoby, nie wcześniej niż po upływie trzech miesięcy, licząc od dnia zakończenia uczestnictwa w Działaniu lub jeżeli dana osoba podjęła zatrudnienie</t>
    </r>
  </si>
  <si>
    <t>- w tym młodzież zagrożona wykluczeniem społecznym (15-25 lat)</t>
  </si>
  <si>
    <t>-  w tym więźniowie</t>
  </si>
  <si>
    <t>- w tym Romowie</t>
  </si>
  <si>
    <t>- w tym osoby niepełnosprawne</t>
  </si>
  <si>
    <t>- w tym liczba osób w wieku powyżej 50. roku życia</t>
  </si>
  <si>
    <t>- w tym onkolodzy</t>
  </si>
  <si>
    <t>- w tym kardiolodzy</t>
  </si>
  <si>
    <t>- w tym lekarze medycyny pracy</t>
  </si>
  <si>
    <t xml:space="preserve">- w tym publiczne instytucje szkolnictwa wyższego </t>
  </si>
  <si>
    <t>- w tym prywatne instytucje szkolnictwa wyższego</t>
  </si>
  <si>
    <t>- urzędy marszałkowskie</t>
  </si>
  <si>
    <t>- urzędy powiatowe</t>
  </si>
  <si>
    <t>- urzędy gmin</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</si>
  <si>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</si>
  <si>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</si>
  <si>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</si>
  <si>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</si>
  <si>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 xml:space="preserve">Liczba kluczowych pracowników PSZ, którzy zakończyli udział w szkoleniach realizowanych w systemie pozaszkolnym, istotnych z punktu widzenia regionalnego rynku pracy </t>
  </si>
  <si>
    <t>- w tym przekazanych osobom w wieku 15-24 lata</t>
  </si>
  <si>
    <t>- w tym przekazanych osobom w wieku 50-64 lata</t>
  </si>
  <si>
    <t>- w tym osoby z terenów wiejskich</t>
  </si>
  <si>
    <t>Liczba klientów instytucji pomocy społecznej objętych kontraktami socjalnymi w ramach realizowanych projektów</t>
  </si>
  <si>
    <t xml:space="preserve">6.1 Poprawa dostępu do zatrudnienia oraz wspieranie aktywności zawodowej w regionie
6.2 Wsparcie oraz promocja przedsiębiorczości i samozatrudnienia
6.3 Inicjatywy lokalne na rzecz podnoszenia poziomu aktywności zawodowej na obszarach wiejskich
</t>
  </si>
  <si>
    <t>Wojewódzki Urząd Pracy w Zielonej Górze</t>
  </si>
  <si>
    <t>Liczba osób należących do kadry szkoleniowej, które podniosły swoje kwalifikacje zgodnie z tzw. podejściem kompetencyjnym*</t>
  </si>
  <si>
    <t>Liczba jednostek służby zdrowia, które uzyskały akredytację Centrum Monitorowania Jakości w Ochronie Zdrowia w ramach Działania</t>
  </si>
  <si>
    <r>
      <t xml:space="preserve">Należy wypełnić w oparciu o dane z załącznika nr 2 </t>
    </r>
    <r>
      <rPr>
        <i/>
        <sz val="10"/>
        <rFont val="Calibri"/>
        <family val="2"/>
      </rPr>
      <t>"Szczegółowa charakterystyka udzielonego wsparcia"</t>
    </r>
    <r>
      <rPr>
        <sz val="10"/>
        <rFont val="Calibri"/>
        <family val="2"/>
      </rPr>
      <t xml:space="preserv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uwzględnić dane kumulatywne od początku okresu ich realizacji.</t>
    </r>
  </si>
  <si>
    <r>
      <t xml:space="preserve">Należy wypełnić w oparciu o dane z załącznika nr 2 </t>
    </r>
    <r>
      <rPr>
        <i/>
        <sz val="12"/>
        <rFont val="Calibri"/>
        <family val="2"/>
      </rPr>
      <t>"Szczegółowa charakterystyka udzielonego wsparcia"</t>
    </r>
    <r>
      <rPr>
        <sz val="12"/>
        <rFont val="Calibri"/>
        <family val="2"/>
      </rPr>
      <t xml:space="preserv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uwzględnić dane kumulatywne od początku okresu ich realizacji.</t>
    </r>
  </si>
  <si>
    <r>
      <t xml:space="preserve">Tabela stanowi uszczegółowienie informacji przekazanych w ramach załącznika nr 2 </t>
    </r>
    <r>
      <rPr>
        <i/>
        <sz val="12"/>
        <rFont val="Calibri"/>
        <family val="2"/>
      </rPr>
      <t>Przepływ uczestników projektów realizowanych w ramach Działania</t>
    </r>
    <r>
      <rPr>
        <sz val="12"/>
        <rFont val="Calibri"/>
        <family val="2"/>
      </rPr>
      <t xml:space="preserve">. Należy w niej uwzględnić każdą osobę, która rozpoczęła udział w projekcie. Jedna osoba może być wykazana tylko w ramach jednej z </t>
    </r>
    <r>
      <rPr>
        <b/>
        <sz val="12"/>
        <rFont val="Calibri"/>
        <family val="2"/>
      </rPr>
      <t>kategorii głównych</t>
    </r>
    <r>
      <rPr>
        <sz val="12"/>
        <rFont val="Calibri"/>
        <family val="2"/>
      </rPr>
      <t>. Kategorie główne prezentowane w tabeli są rozłączne.</t>
    </r>
  </si>
  <si>
    <r>
      <t xml:space="preserve">Uczestników projektów należy przypisać do poszczególnych kategorii/podkategorii zgodnie z definicjami określonymi 
w Instrukcji do wniosku o dofinansowanie projektu Program Operacyjny Kapitał Ludzki.
• W wierszach </t>
    </r>
    <r>
      <rPr>
        <i/>
        <sz val="12"/>
        <rFont val="Calibri"/>
        <family val="2"/>
      </rPr>
      <t>„Bezrobotni"</t>
    </r>
    <r>
      <rPr>
        <sz val="12"/>
        <rFont val="Calibri"/>
        <family val="2"/>
      </rPr>
      <t xml:space="preserve"> oraz </t>
    </r>
    <r>
      <rPr>
        <i/>
        <sz val="12"/>
        <rFont val="Calibri"/>
        <family val="2"/>
      </rPr>
      <t>„w tym osoby długotrwale bezrobotne"</t>
    </r>
    <r>
      <rPr>
        <sz val="12"/>
        <rFont val="Calibri"/>
        <family val="2"/>
      </rPr>
      <t xml:space="preserve"> należy monitorować uczestników projektu zgodnie z definicjami określonymi w Ustawie z dnia 20 kwietnia 2004 r. o promocji zatrudnienia i instytucjach rynku pracy.
• W wierszu </t>
    </r>
    <r>
      <rPr>
        <i/>
        <sz val="12"/>
        <rFont val="Calibri"/>
        <family val="2"/>
      </rPr>
      <t>„w tym osoby należące do mniejszości narodowych i etnicznych”</t>
    </r>
    <r>
      <rPr>
        <sz val="12"/>
        <rFont val="Calibri"/>
        <family val="2"/>
      </rPr>
      <t xml:space="preserve"> obowiązkowo należy wykazać uczestników projektów realizowanych w ramach Poddziałania 1.3.1. W wierszu </t>
    </r>
    <r>
      <rPr>
        <i/>
        <sz val="12"/>
        <rFont val="Calibri"/>
        <family val="2"/>
      </rPr>
      <t>„w tym migranci”</t>
    </r>
    <r>
      <rPr>
        <sz val="12"/>
        <rFont val="Calibri"/>
        <family val="2"/>
      </rPr>
      <t xml:space="preserve"> obowiązkowo należy wykazać uczestników projektów realizowanych w ramach Poddziałania 1.3.7. W wierszu </t>
    </r>
    <r>
      <rPr>
        <i/>
        <sz val="12"/>
        <rFont val="Calibri"/>
        <family val="2"/>
      </rPr>
      <t>„w tym osoby niepełnosprawne”</t>
    </r>
    <r>
      <rPr>
        <sz val="12"/>
        <rFont val="Calibri"/>
        <family val="2"/>
      </rPr>
      <t xml:space="preserve"> obowiązkowo należy wykazać uczestników projektów realizowanych w ramach Poddziałania 1.3.6, Priorytetu VI oraz Działania 7.4. W pozostałych projektach monitorowanie ww. podkategorii wynika z przyjętych założeń projektu określonych w pkt. 3.1 wniosku o dofinansowanie.
• W wierszu </t>
    </r>
    <r>
      <rPr>
        <i/>
        <sz val="12"/>
        <rFont val="Calibri"/>
        <family val="2"/>
      </rPr>
      <t>„w tym osoby z terenów wiejskich”</t>
    </r>
    <r>
      <rPr>
        <sz val="12"/>
        <rFont val="Calibri"/>
        <family val="2"/>
      </rPr>
      <t xml:space="preserve"> należy monitorować uczestników projektów realizowanych w ramach 
Priorytetów regionalnych (VI-IX) zgodnie z definicją określoną przez Główny Urząd Statystyczny i przedstawioną 
w </t>
    </r>
    <r>
      <rPr>
        <i/>
        <sz val="12"/>
        <rFont val="Calibri"/>
        <family val="2"/>
      </rPr>
      <t>Podręczniku wskaźników PO KL 2007-2013</t>
    </r>
    <r>
      <rPr>
        <sz val="12"/>
        <rFont val="Calibri"/>
        <family val="2"/>
      </rPr>
      <t>.</t>
    </r>
  </si>
  <si>
    <t>Priorytet VI</t>
  </si>
  <si>
    <t>nie dotyczy</t>
  </si>
  <si>
    <t>Rozporządzenie wydane na podstawie art. 21 ust. 3 ustawy z dnia 6 grudnia 2006 r. o zasadach prowadzenia polityki rozwoju (Dz. U. z 2009 r. Nr 84,poz. 712), tj.: Rozporządzenie Ministra Rozwoju Regionalnego z dnia 15 grudnia 2010 r. w sprawie udzielania pomocy publicznej w ramach Programu Operacyjnego Kapitał Ludzki (Dz. U. Nr 239, poz. 1598)</t>
  </si>
  <si>
    <r>
      <t xml:space="preserve">Pomoc publiczna oraz pomoc </t>
    </r>
    <r>
      <rPr>
        <b/>
        <i/>
        <sz val="10"/>
        <rFont val="Cambria"/>
        <family val="1"/>
      </rPr>
      <t>de minimis</t>
    </r>
    <r>
      <rPr>
        <b/>
        <sz val="10"/>
        <rFont val="Cambria"/>
        <family val="1"/>
      </rPr>
      <t xml:space="preserve"> udzialana na rzecz MŚP przez instytucje pełniące rolę pośredników</t>
    </r>
  </si>
  <si>
    <t>W 2012 r. wykazano o 2K i 1M za mało w kategorii osób długotrwale bezrobotnych.</t>
  </si>
  <si>
    <t>Komentarz dot. 6.3</t>
  </si>
  <si>
    <t>W 2012 r. wykazano za mało o 1K i za dużo o 1M  w kategorii osób z wykształceniem podstawowym, gimnazjalnym i niższym, oraz za dużo o 1K i za mało o 1M w kategorii osób z wykształceniem ponadgimnazjalnym</t>
  </si>
  <si>
    <t>Komentarz 6.3</t>
  </si>
  <si>
    <t>Ustawa z dnia 20 kwietnia 2004 r. o promocji zatrudnienia i instytucjach rynku pracy (Dz. U. z 2008 r. Nr 69, poz. 415, z późn. zm.) i rozporządzenia wykonawcze:                                                                                                                                           Rozporządzenie Ministra Pracy i Polityki Społecznej z dnia 17 kwietnia 2009 r. w sprawie dokonywania refundacji kosztów wyposażenia lub doposażenia stanowiska pracy dla skierowanego bezrobotnego oraz przyznawania bezrobotnemu
środków na podjęcie działalności gospodarczej (Dz.U.09.62.512 z późn. zm.)                                                                     Rozporządzenie Ministra Pracy i Polityki Społecznej z dnia 7 stycznia 2009 r. w sprawie organizowania prac interwencyjnych i robót publicznych oraz jednorazowej refundacji kosztów z tytułu opłacanych składek na ubezpieczenie społeczne (Dz. U. z 2009 r. 51 nr 5, poz. 25)</t>
  </si>
  <si>
    <t>Komentarz dot. 6.2</t>
  </si>
  <si>
    <t>W 2012 r. wykazano o 1M za dużo w kategorii osób niepełnosprawnych.</t>
  </si>
  <si>
    <t>W ramach 6.1 kwota 68 600 została przekazana do dużych przedsiębiorstw (wartość pomocy publicznej wypłaconej dużym przedsiębiorstwom spadła w wyniku korekty dokonanej przez Beneficjenta).</t>
  </si>
  <si>
    <t>I półrocze 2014 r.</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</si>
</sst>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65">
    <font>
      <sz val="10"/>
      <name val="Arial"/>
      <family val="2"/>
    </font>
    <font>
      <sz val="8"/>
      <name val="Arial"/>
      <family val="2"/>
    </font>
    <font>
      <u val="single"/>
      <sz val="10"/>
      <color indexed="12"/>
      <name val="Arial"/>
      <family val="2"/>
    </font>
    <font>
      <u val="single"/>
      <sz val="10"/>
      <color indexed="36"/>
      <name val="Arial"/>
      <family val="2"/>
    </font>
    <font>
      <b/>
      <sz val="10"/>
      <name val="Arial"/>
      <family val="2"/>
    </font>
    <font>
      <b/>
      <sz val="11"/>
      <name val="Arial"/>
      <family val="2"/>
    </font>
    <font>
      <b/>
      <i/>
      <sz val="11"/>
      <name val="Arial"/>
      <family val="2"/>
    </font>
    <font>
      <sz val="11"/>
      <name val="Arial"/>
      <family val="2"/>
    </font>
    <font>
      <i/>
      <sz val="10"/>
      <name val="Arial"/>
      <family val="2"/>
    </font>
    <font>
      <b/>
      <i/>
      <sz val="10"/>
      <name val="Arial"/>
      <family val="2"/>
    </font>
    <font>
      <sz val="9"/>
      <name val="Arial"/>
      <family val="2"/>
    </font>
    <font>
      <i/>
      <sz val="9"/>
      <name val="Arial"/>
      <family val="2"/>
    </font>
    <font>
      <sz val="12"/>
      <name val="Arial"/>
      <family val="2"/>
    </font>
    <font>
      <b/>
      <sz val="9"/>
      <name val="Arial"/>
      <family val="2"/>
    </font>
    <font>
      <b/>
      <i/>
      <sz val="9"/>
      <name val="Arial"/>
      <family val="2"/>
    </font>
    <font>
      <sz val="7"/>
      <name val="Arial"/>
      <family val="2"/>
    </font>
    <font>
      <b/>
      <sz val="7"/>
      <name val="Arial"/>
      <family val="2"/>
    </font>
    <font>
      <b/>
      <sz val="8"/>
      <name val="Arial"/>
      <family val="2"/>
    </font>
    <font>
      <u val="single"/>
      <sz val="10"/>
      <name val="Arial"/>
      <family val="2"/>
    </font>
    <font>
      <sz val="10"/>
      <name val="Calibri"/>
      <family val="2"/>
    </font>
    <font>
      <i/>
      <sz val="10"/>
      <name val="Calibri"/>
      <family val="2"/>
    </font>
    <font>
      <b/>
      <sz val="12"/>
      <name val="Calibri"/>
      <family val="2"/>
    </font>
    <font>
      <sz val="12"/>
      <name val="Calibri"/>
      <family val="2"/>
    </font>
    <font>
      <i/>
      <sz val="12"/>
      <name val="Calibri"/>
      <family val="2"/>
    </font>
    <font>
      <b/>
      <sz val="10"/>
      <name val="Cambria"/>
      <family val="1"/>
    </font>
    <font>
      <b/>
      <i/>
      <sz val="10"/>
      <name val="Cambria"/>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i/>
      <sz val="12"/>
      <name val="Calibri"/>
      <family val="2"/>
    </font>
    <font>
      <b/>
      <sz val="10"/>
      <name val="Calibri"/>
      <family val="2"/>
    </font>
    <font>
      <sz val="8"/>
      <name val="Calibri"/>
      <family val="2"/>
    </font>
    <font>
      <sz val="10"/>
      <name val="Cambria"/>
      <family val="1"/>
    </font>
    <font>
      <sz val="12"/>
      <name val="Cambria"/>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31"/>
        <bgColor indexed="64"/>
      </patternFill>
    </fill>
    <fill>
      <patternFill patternType="solid">
        <fgColor indexed="24"/>
        <bgColor indexed="64"/>
      </patternFill>
    </fill>
    <fill>
      <patternFill patternType="solid">
        <fgColor indexed="55"/>
        <bgColor indexed="64"/>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indexed="22"/>
        <bgColor indexed="64"/>
      </patternFill>
    </fill>
    <fill>
      <patternFill patternType="solid">
        <fgColor indexed="41"/>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color indexed="63"/>
      </bottom>
    </border>
    <border>
      <left style="medium"/>
      <right style="medium"/>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style="medium"/>
      <right style="thin"/>
      <top style="thin"/>
      <bottom>
        <color indexed="63"/>
      </bottom>
    </border>
    <border>
      <left style="thin"/>
      <right style="medium"/>
      <top style="thin"/>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color indexed="8"/>
      </right>
      <top style="thin">
        <color indexed="8"/>
      </top>
      <bottom>
        <color indexed="63"/>
      </bottom>
    </border>
    <border>
      <left>
        <color indexed="63"/>
      </left>
      <right>
        <color indexed="63"/>
      </right>
      <top style="thin"/>
      <bottom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thin"/>
    </border>
    <border>
      <left style="medium"/>
      <right style="thin"/>
      <top style="medium"/>
      <bottom style="thin"/>
    </border>
    <border>
      <left style="medium"/>
      <right style="thin"/>
      <top style="thin"/>
      <bottom style="thin"/>
    </border>
    <border>
      <left>
        <color indexed="63"/>
      </left>
      <right style="medium"/>
      <top style="medium"/>
      <bottom style="thin"/>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 fillId="0" borderId="0" applyNumberFormat="0" applyFill="0" applyBorder="0" applyAlignment="0" applyProtection="0"/>
    <xf numFmtId="0" fontId="53" fillId="0" borderId="3" applyNumberFormat="0" applyFill="0" applyAlignment="0" applyProtection="0"/>
    <xf numFmtId="0" fontId="54" fillId="29" borderId="4" applyNumberFormat="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0" fontId="0" fillId="0" borderId="0">
      <alignment/>
      <protection/>
    </xf>
    <xf numFmtId="0" fontId="0" fillId="0" borderId="0">
      <alignment/>
      <protection/>
    </xf>
    <xf numFmtId="0" fontId="59" fillId="27" borderId="1" applyNumberFormat="0" applyAlignment="0" applyProtection="0"/>
    <xf numFmtId="0" fontId="3" fillId="0" borderId="0" applyNumberFormat="0" applyFill="0" applyBorder="0" applyAlignment="0" applyProtection="0"/>
    <xf numFmtId="9" fontId="0" fillId="0" borderId="0" applyFill="0" applyBorder="0" applyAlignment="0" applyProtection="0"/>
    <xf numFmtId="0" fontId="60" fillId="0" borderId="8"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64" fillId="32" borderId="0" applyNumberFormat="0" applyBorder="0" applyAlignment="0" applyProtection="0"/>
  </cellStyleXfs>
  <cellXfs count="553">
    <xf numFmtId="0" fontId="0" fillId="0" borderId="0" xfId="0" applyAlignment="1">
      <alignment/>
    </xf>
    <xf numFmtId="0" fontId="4" fillId="0" borderId="0" xfId="0" applyFont="1" applyAlignment="1">
      <alignment wrapText="1"/>
    </xf>
    <xf numFmtId="0" fontId="4" fillId="0" borderId="0" xfId="0" applyFont="1" applyAlignment="1">
      <alignment/>
    </xf>
    <xf numFmtId="0" fontId="0" fillId="0" borderId="0" xfId="0" applyFont="1" applyAlignment="1">
      <alignment/>
    </xf>
    <xf numFmtId="0" fontId="7" fillId="0" borderId="0" xfId="0" applyFont="1" applyBorder="1" applyAlignment="1">
      <alignment horizontal="left" vertical="center"/>
    </xf>
    <xf numFmtId="0" fontId="0" fillId="0" borderId="0" xfId="0" applyFont="1" applyAlignment="1">
      <alignment/>
    </xf>
    <xf numFmtId="0" fontId="7" fillId="0" borderId="0" xfId="0" applyFont="1" applyAlignment="1">
      <alignment horizontal="center" vertical="center"/>
    </xf>
    <xf numFmtId="0" fontId="0" fillId="0" borderId="0" xfId="0" applyFont="1" applyAlignment="1">
      <alignment/>
    </xf>
    <xf numFmtId="0" fontId="0" fillId="0" borderId="0" xfId="0" applyNumberFormat="1" applyFont="1" applyAlignment="1">
      <alignment horizontal="left" wrapText="1"/>
    </xf>
    <xf numFmtId="0" fontId="4" fillId="0" borderId="0" xfId="0" applyNumberFormat="1" applyFont="1" applyAlignment="1">
      <alignment horizontal="left" wrapText="1"/>
    </xf>
    <xf numFmtId="0" fontId="5" fillId="0" borderId="0" xfId="0" applyFont="1" applyBorder="1" applyAlignment="1">
      <alignment horizontal="left" wrapText="1"/>
    </xf>
    <xf numFmtId="0" fontId="8"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wrapText="1"/>
    </xf>
    <xf numFmtId="0" fontId="4" fillId="0" borderId="1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xf>
    <xf numFmtId="0" fontId="4" fillId="0" borderId="0"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left" wrapText="1"/>
    </xf>
    <xf numFmtId="0" fontId="0" fillId="0" borderId="11" xfId="0" applyFont="1" applyBorder="1" applyAlignment="1">
      <alignment horizontal="left" wrapText="1"/>
    </xf>
    <xf numFmtId="0" fontId="4" fillId="0" borderId="10" xfId="0" applyFont="1" applyBorder="1" applyAlignment="1">
      <alignment horizontal="center" wrapText="1"/>
    </xf>
    <xf numFmtId="0" fontId="7" fillId="0" borderId="0" xfId="53" applyFont="1" applyBorder="1" applyAlignment="1">
      <alignment horizontal="center" vertical="center"/>
      <protection/>
    </xf>
    <xf numFmtId="0" fontId="0" fillId="0" borderId="0" xfId="0" applyFont="1" applyBorder="1" applyAlignment="1">
      <alignment horizontal="center"/>
    </xf>
    <xf numFmtId="0" fontId="0" fillId="0" borderId="0" xfId="0" applyFont="1" applyAlignment="1">
      <alignment/>
    </xf>
    <xf numFmtId="0" fontId="4" fillId="0" borderId="12" xfId="0" applyFont="1" applyBorder="1" applyAlignment="1">
      <alignment horizontal="center" vertical="center" wrapText="1"/>
    </xf>
    <xf numFmtId="0" fontId="4" fillId="0" borderId="10" xfId="0" applyFont="1" applyBorder="1" applyAlignment="1">
      <alignment horizontal="center" vertical="center"/>
    </xf>
    <xf numFmtId="0" fontId="7" fillId="0" borderId="0" xfId="0" applyFont="1" applyBorder="1" applyAlignment="1">
      <alignment/>
    </xf>
    <xf numFmtId="0" fontId="7" fillId="0" borderId="0" xfId="0" applyFont="1" applyAlignment="1">
      <alignment/>
    </xf>
    <xf numFmtId="0" fontId="0" fillId="0" borderId="0" xfId="0" applyFont="1" applyAlignment="1">
      <alignment/>
    </xf>
    <xf numFmtId="0" fontId="7" fillId="0" borderId="0" xfId="0" applyFont="1" applyBorder="1" applyAlignment="1">
      <alignment horizontal="center" vertical="center"/>
    </xf>
    <xf numFmtId="0" fontId="0" fillId="0" borderId="0" xfId="0" applyFont="1" applyAlignment="1">
      <alignment horizontal="center"/>
    </xf>
    <xf numFmtId="0" fontId="8" fillId="0" borderId="0" xfId="0" applyFont="1" applyBorder="1" applyAlignment="1">
      <alignment vertical="top"/>
    </xf>
    <xf numFmtId="0" fontId="8" fillId="0" borderId="0" xfId="0" applyFont="1" applyAlignment="1">
      <alignment/>
    </xf>
    <xf numFmtId="0" fontId="4" fillId="0" borderId="13" xfId="0" applyFont="1" applyBorder="1" applyAlignment="1">
      <alignment horizontal="center" vertical="center" wrapText="1"/>
    </xf>
    <xf numFmtId="0" fontId="0" fillId="0" borderId="0" xfId="0" applyFont="1" applyAlignment="1">
      <alignment horizontal="center"/>
    </xf>
    <xf numFmtId="0" fontId="0" fillId="0" borderId="14" xfId="0" applyFont="1" applyBorder="1" applyAlignment="1">
      <alignment horizontal="center" vertical="center" wrapText="1"/>
    </xf>
    <xf numFmtId="0" fontId="0" fillId="0" borderId="15" xfId="0" applyFont="1" applyBorder="1" applyAlignment="1">
      <alignment vertical="center" wrapText="1"/>
    </xf>
    <xf numFmtId="0" fontId="0" fillId="0" borderId="16" xfId="0" applyFont="1" applyBorder="1" applyAlignment="1">
      <alignment horizontal="center" vertical="center" wrapText="1"/>
    </xf>
    <xf numFmtId="0" fontId="0" fillId="0" borderId="12" xfId="0" applyFont="1" applyBorder="1" applyAlignment="1">
      <alignment vertical="center" wrapText="1"/>
    </xf>
    <xf numFmtId="0" fontId="4" fillId="0" borderId="12" xfId="0" applyFont="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10" fillId="0" borderId="0" xfId="0" applyFont="1" applyFill="1" applyBorder="1" applyAlignment="1">
      <alignment horizontal="justify" vertical="center" wrapText="1"/>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10" fillId="0" borderId="0" xfId="0" applyFont="1" applyFill="1" applyBorder="1" applyAlignment="1">
      <alignment vertical="center" wrapText="1"/>
    </xf>
    <xf numFmtId="0" fontId="0" fillId="0" borderId="0" xfId="0" applyFont="1" applyFill="1" applyBorder="1" applyAlignment="1">
      <alignment horizontal="justify" vertical="center" wrapText="1"/>
    </xf>
    <xf numFmtId="0" fontId="4" fillId="0" borderId="17" xfId="0" applyFont="1" applyBorder="1"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21" xfId="0" applyFont="1" applyBorder="1" applyAlignment="1">
      <alignment horizontal="left"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0" xfId="0" applyFont="1" applyFill="1" applyBorder="1" applyAlignment="1">
      <alignment horizontal="justify" vertical="center" wrapText="1"/>
    </xf>
    <xf numFmtId="0" fontId="4" fillId="0" borderId="17" xfId="0" applyFont="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2" xfId="0" applyFont="1" applyBorder="1" applyAlignment="1">
      <alignment horizontal="center" vertical="center"/>
    </xf>
    <xf numFmtId="0" fontId="0" fillId="0" borderId="21" xfId="0" applyFont="1" applyBorder="1" applyAlignment="1">
      <alignment vertical="center" wrapText="1"/>
    </xf>
    <xf numFmtId="0" fontId="0" fillId="0" borderId="23" xfId="0" applyFont="1" applyBorder="1" applyAlignment="1">
      <alignment horizontal="center" vertical="center"/>
    </xf>
    <xf numFmtId="0" fontId="0" fillId="0" borderId="0" xfId="0" applyFont="1" applyAlignment="1">
      <alignment vertical="center" wrapText="1"/>
    </xf>
    <xf numFmtId="0" fontId="0" fillId="0" borderId="24" xfId="0" applyFont="1" applyBorder="1" applyAlignment="1">
      <alignment vertical="center" wrapText="1"/>
    </xf>
    <xf numFmtId="0" fontId="4" fillId="0" borderId="0" xfId="53" applyFont="1">
      <alignment/>
      <protection/>
    </xf>
    <xf numFmtId="0" fontId="4" fillId="0" borderId="0" xfId="53" applyFont="1" applyAlignment="1">
      <alignment/>
      <protection/>
    </xf>
    <xf numFmtId="0" fontId="7" fillId="0" borderId="0" xfId="53" applyFont="1" applyAlignment="1">
      <alignment horizontal="center" vertical="center"/>
      <protection/>
    </xf>
    <xf numFmtId="0" fontId="7" fillId="0" borderId="0" xfId="53" applyFont="1" applyAlignment="1" applyProtection="1">
      <alignment horizontal="center" vertical="center"/>
      <protection locked="0"/>
    </xf>
    <xf numFmtId="0" fontId="9" fillId="0" borderId="0" xfId="53" applyFont="1" applyFill="1" applyBorder="1" applyAlignment="1">
      <alignment horizontal="left" vertical="center" wrapText="1"/>
      <protection/>
    </xf>
    <xf numFmtId="0" fontId="4" fillId="0" borderId="10" xfId="0" applyFont="1" applyBorder="1" applyAlignment="1">
      <alignment horizontal="left" vertical="center" wrapText="1"/>
    </xf>
    <xf numFmtId="0" fontId="4" fillId="0" borderId="0" xfId="0" applyFont="1" applyAlignment="1">
      <alignment vertical="top"/>
    </xf>
    <xf numFmtId="0" fontId="4" fillId="0" borderId="25" xfId="0" applyFont="1" applyFill="1" applyBorder="1" applyAlignment="1">
      <alignment horizontal="justify" vertical="top" wrapText="1"/>
    </xf>
    <xf numFmtId="0" fontId="0" fillId="0" borderId="25" xfId="0" applyBorder="1" applyAlignment="1">
      <alignment/>
    </xf>
    <xf numFmtId="0" fontId="0" fillId="33" borderId="26" xfId="0" applyFill="1" applyBorder="1" applyAlignment="1">
      <alignment horizontal="left" vertical="top" wrapText="1"/>
    </xf>
    <xf numFmtId="0" fontId="0" fillId="33" borderId="27" xfId="0" applyFill="1" applyBorder="1" applyAlignment="1">
      <alignment/>
    </xf>
    <xf numFmtId="0" fontId="4" fillId="0" borderId="28" xfId="0" applyFont="1" applyFill="1" applyBorder="1" applyAlignment="1">
      <alignment horizontal="justify" vertical="top" wrapText="1"/>
    </xf>
    <xf numFmtId="0" fontId="0" fillId="0" borderId="29" xfId="0" applyBorder="1" applyAlignment="1">
      <alignment/>
    </xf>
    <xf numFmtId="0" fontId="0" fillId="33" borderId="30" xfId="0" applyFill="1" applyBorder="1" applyAlignment="1">
      <alignment horizontal="left" vertical="top" wrapText="1"/>
    </xf>
    <xf numFmtId="0" fontId="0" fillId="33" borderId="31" xfId="0" applyFill="1" applyBorder="1" applyAlignment="1">
      <alignment/>
    </xf>
    <xf numFmtId="0" fontId="4" fillId="0" borderId="25" xfId="0" applyFont="1" applyBorder="1" applyAlignment="1">
      <alignment horizontal="justify" vertical="top" wrapText="1"/>
    </xf>
    <xf numFmtId="0" fontId="4" fillId="34" borderId="28" xfId="0" applyFont="1" applyFill="1" applyBorder="1" applyAlignment="1">
      <alignment horizontal="justify" vertical="top"/>
    </xf>
    <xf numFmtId="0" fontId="0" fillId="34" borderId="29" xfId="0" applyFill="1" applyBorder="1" applyAlignment="1">
      <alignment/>
    </xf>
    <xf numFmtId="0" fontId="4" fillId="35" borderId="25" xfId="0" applyFont="1" applyFill="1" applyBorder="1" applyAlignment="1">
      <alignment horizontal="left" vertical="top" wrapText="1"/>
    </xf>
    <xf numFmtId="0" fontId="0" fillId="35" borderId="25" xfId="0" applyFill="1" applyBorder="1" applyAlignment="1">
      <alignment/>
    </xf>
    <xf numFmtId="0" fontId="4" fillId="34" borderId="27" xfId="0" applyFont="1" applyFill="1" applyBorder="1" applyAlignment="1">
      <alignment horizontal="justify" vertical="top"/>
    </xf>
    <xf numFmtId="0" fontId="4" fillId="34" borderId="27" xfId="0" applyFont="1" applyFill="1" applyBorder="1" applyAlignment="1">
      <alignment horizontal="left"/>
    </xf>
    <xf numFmtId="0" fontId="4" fillId="35" borderId="29" xfId="0" applyFont="1" applyFill="1" applyBorder="1" applyAlignment="1">
      <alignment horizontal="left" vertical="top" wrapText="1"/>
    </xf>
    <xf numFmtId="0" fontId="4" fillId="35" borderId="29" xfId="0" applyFont="1" applyFill="1" applyBorder="1" applyAlignment="1">
      <alignment/>
    </xf>
    <xf numFmtId="0" fontId="0" fillId="34" borderId="31" xfId="0" applyFill="1" applyBorder="1" applyAlignment="1">
      <alignment horizontal="right" vertical="top"/>
    </xf>
    <xf numFmtId="0" fontId="0" fillId="34" borderId="31" xfId="0" applyFill="1" applyBorder="1" applyAlignment="1">
      <alignment/>
    </xf>
    <xf numFmtId="0" fontId="0" fillId="35" borderId="32" xfId="0" applyFill="1" applyBorder="1" applyAlignment="1">
      <alignment horizontal="right" vertical="top" wrapText="1"/>
    </xf>
    <xf numFmtId="0" fontId="0" fillId="35" borderId="32" xfId="0" applyFill="1" applyBorder="1" applyAlignment="1">
      <alignment/>
    </xf>
    <xf numFmtId="0" fontId="4" fillId="0" borderId="28" xfId="0" applyFont="1" applyBorder="1" applyAlignment="1">
      <alignment horizontal="justify" vertical="top" wrapText="1"/>
    </xf>
    <xf numFmtId="0" fontId="0" fillId="0" borderId="32" xfId="0" applyBorder="1" applyAlignment="1">
      <alignment/>
    </xf>
    <xf numFmtId="0" fontId="4" fillId="0" borderId="25" xfId="0" applyFont="1" applyBorder="1" applyAlignment="1">
      <alignment horizontal="left" vertical="top" wrapText="1"/>
    </xf>
    <xf numFmtId="0" fontId="4" fillId="0" borderId="28" xfId="0" applyFont="1" applyBorder="1" applyAlignment="1">
      <alignment horizontal="justify" vertical="top"/>
    </xf>
    <xf numFmtId="0" fontId="0" fillId="0" borderId="25" xfId="0" applyFill="1" applyBorder="1" applyAlignment="1">
      <alignment/>
    </xf>
    <xf numFmtId="0" fontId="4" fillId="0" borderId="29" xfId="0" applyFont="1" applyBorder="1" applyAlignment="1">
      <alignment horizontal="justify" vertical="top" wrapText="1"/>
    </xf>
    <xf numFmtId="0" fontId="4" fillId="36" borderId="0" xfId="0" applyFont="1" applyFill="1" applyBorder="1" applyAlignment="1">
      <alignment horizontal="center" vertical="center" textRotation="255" wrapText="1" readingOrder="2"/>
    </xf>
    <xf numFmtId="0" fontId="0" fillId="0" borderId="33" xfId="0" applyBorder="1" applyAlignment="1">
      <alignment/>
    </xf>
    <xf numFmtId="0" fontId="4" fillId="0" borderId="32" xfId="0" applyFont="1" applyBorder="1" applyAlignment="1">
      <alignment horizontal="justify" vertical="top" wrapText="1"/>
    </xf>
    <xf numFmtId="0" fontId="4" fillId="34" borderId="29" xfId="0" applyFont="1" applyFill="1" applyBorder="1" applyAlignment="1">
      <alignment horizontal="justify" vertical="top"/>
    </xf>
    <xf numFmtId="0" fontId="0" fillId="34" borderId="25" xfId="0" applyFill="1" applyBorder="1" applyAlignment="1">
      <alignment/>
    </xf>
    <xf numFmtId="0" fontId="0" fillId="35" borderId="29" xfId="0" applyFill="1" applyBorder="1" applyAlignment="1">
      <alignment/>
    </xf>
    <xf numFmtId="0" fontId="4" fillId="34" borderId="34" xfId="0" applyFont="1" applyFill="1" applyBorder="1" applyAlignment="1">
      <alignment/>
    </xf>
    <xf numFmtId="0" fontId="4" fillId="35" borderId="26" xfId="0" applyFont="1" applyFill="1" applyBorder="1" applyAlignment="1">
      <alignment horizontal="left" vertical="top" wrapText="1"/>
    </xf>
    <xf numFmtId="0" fontId="0" fillId="34" borderId="32" xfId="0" applyFill="1" applyBorder="1" applyAlignment="1">
      <alignment horizontal="right" vertical="top"/>
    </xf>
    <xf numFmtId="0" fontId="0" fillId="34" borderId="35" xfId="0" applyFont="1" applyFill="1" applyBorder="1" applyAlignment="1">
      <alignment/>
    </xf>
    <xf numFmtId="0" fontId="0" fillId="35" borderId="30" xfId="0" applyFill="1" applyBorder="1" applyAlignment="1">
      <alignment horizontal="right" vertical="top" wrapText="1"/>
    </xf>
    <xf numFmtId="0" fontId="0" fillId="0" borderId="25" xfId="0" applyFont="1" applyFill="1" applyBorder="1" applyAlignment="1">
      <alignment/>
    </xf>
    <xf numFmtId="0" fontId="4" fillId="0" borderId="25" xfId="0" applyFont="1" applyBorder="1" applyAlignment="1">
      <alignment horizontal="justify" vertical="top"/>
    </xf>
    <xf numFmtId="0" fontId="0" fillId="33" borderId="33" xfId="0" applyFill="1" applyBorder="1" applyAlignment="1">
      <alignment horizontal="left" vertical="top" wrapText="1"/>
    </xf>
    <xf numFmtId="0" fontId="0" fillId="33" borderId="28" xfId="0" applyFill="1" applyBorder="1" applyAlignment="1">
      <alignment/>
    </xf>
    <xf numFmtId="0" fontId="4" fillId="0" borderId="36" xfId="0" applyFont="1" applyFill="1" applyBorder="1" applyAlignment="1">
      <alignment horizontal="justify" vertical="top" wrapText="1"/>
    </xf>
    <xf numFmtId="0" fontId="0" fillId="0" borderId="37" xfId="0" applyFill="1" applyBorder="1" applyAlignment="1">
      <alignment/>
    </xf>
    <xf numFmtId="0" fontId="4" fillId="0" borderId="0" xfId="0" applyFont="1" applyAlignment="1">
      <alignment horizontal="justify" vertical="top" wrapText="1"/>
    </xf>
    <xf numFmtId="0" fontId="0" fillId="35" borderId="25" xfId="0" applyFill="1" applyBorder="1" applyAlignment="1">
      <alignment horizontal="left" vertical="top" wrapText="1"/>
    </xf>
    <xf numFmtId="0" fontId="4" fillId="34" borderId="26" xfId="0" applyFont="1" applyFill="1" applyBorder="1" applyAlignment="1">
      <alignment horizontal="justify" vertical="top"/>
    </xf>
    <xf numFmtId="0" fontId="4" fillId="34" borderId="29" xfId="0" applyFont="1" applyFill="1" applyBorder="1" applyAlignment="1">
      <alignment/>
    </xf>
    <xf numFmtId="0" fontId="0" fillId="35" borderId="29" xfId="0" applyFill="1" applyBorder="1" applyAlignment="1">
      <alignment horizontal="left" vertical="top" wrapText="1"/>
    </xf>
    <xf numFmtId="0" fontId="0" fillId="34" borderId="30" xfId="0" applyFill="1" applyBorder="1" applyAlignment="1">
      <alignment horizontal="right" vertical="top"/>
    </xf>
    <xf numFmtId="0" fontId="0" fillId="34" borderId="32" xfId="0" applyFill="1" applyBorder="1" applyAlignment="1">
      <alignment/>
    </xf>
    <xf numFmtId="0" fontId="4" fillId="0" borderId="38" xfId="0" applyFont="1" applyFill="1" applyBorder="1" applyAlignment="1">
      <alignment horizontal="justify" vertical="top" wrapText="1"/>
    </xf>
    <xf numFmtId="0" fontId="17" fillId="37" borderId="29" xfId="0" applyFont="1" applyFill="1" applyBorder="1" applyAlignment="1">
      <alignment horizontal="center" vertical="center" textRotation="255" wrapText="1"/>
    </xf>
    <xf numFmtId="0" fontId="4" fillId="0" borderId="25" xfId="0" applyFont="1" applyFill="1" applyBorder="1" applyAlignment="1">
      <alignment horizontal="left" vertical="top" wrapText="1"/>
    </xf>
    <xf numFmtId="0" fontId="0" fillId="33" borderId="26" xfId="0" applyFill="1" applyBorder="1" applyAlignment="1">
      <alignment/>
    </xf>
    <xf numFmtId="0" fontId="4" fillId="0" borderId="28" xfId="0" applyFont="1" applyFill="1" applyBorder="1" applyAlignment="1">
      <alignment horizontal="left" vertical="top" wrapText="1"/>
    </xf>
    <xf numFmtId="0" fontId="0" fillId="33" borderId="30" xfId="0" applyFill="1" applyBorder="1" applyAlignment="1">
      <alignment/>
    </xf>
    <xf numFmtId="0" fontId="0" fillId="0" borderId="39" xfId="0" applyFont="1" applyBorder="1" applyAlignment="1">
      <alignment horizontal="center"/>
    </xf>
    <xf numFmtId="0" fontId="0" fillId="0" borderId="11" xfId="0" applyFont="1" applyBorder="1" applyAlignment="1">
      <alignment horizontal="center"/>
    </xf>
    <xf numFmtId="0" fontId="4" fillId="0" borderId="0" xfId="52" applyFont="1" applyAlignment="1">
      <alignment vertical="center" wrapText="1"/>
      <protection/>
    </xf>
    <xf numFmtId="0" fontId="0" fillId="0" borderId="0" xfId="52" applyFont="1" applyAlignment="1">
      <alignment vertical="center" wrapText="1"/>
      <protection/>
    </xf>
    <xf numFmtId="0" fontId="4" fillId="38" borderId="10" xfId="52" applyFont="1" applyFill="1" applyBorder="1" applyAlignment="1">
      <alignment horizontal="center" vertical="center" wrapText="1"/>
      <protection/>
    </xf>
    <xf numFmtId="0" fontId="4" fillId="33" borderId="10" xfId="52" applyFont="1" applyFill="1" applyBorder="1" applyAlignment="1">
      <alignment horizontal="center" vertical="center" wrapText="1"/>
      <protection/>
    </xf>
    <xf numFmtId="0" fontId="4" fillId="39" borderId="10" xfId="52" applyFont="1" applyFill="1" applyBorder="1" applyAlignment="1">
      <alignment horizontal="center" vertical="center" wrapText="1"/>
      <protection/>
    </xf>
    <xf numFmtId="0" fontId="4" fillId="39" borderId="10" xfId="52" applyFont="1" applyFill="1" applyBorder="1" applyAlignment="1">
      <alignment vertical="center" wrapText="1"/>
      <protection/>
    </xf>
    <xf numFmtId="3" fontId="0" fillId="0" borderId="10" xfId="52" applyNumberFormat="1" applyFont="1" applyFill="1" applyBorder="1" applyAlignment="1">
      <alignment vertical="center" wrapText="1"/>
      <protection/>
    </xf>
    <xf numFmtId="10" fontId="0" fillId="0" borderId="10" xfId="52" applyNumberFormat="1" applyFont="1" applyFill="1" applyBorder="1" applyAlignment="1">
      <alignment vertical="center" wrapText="1"/>
      <protection/>
    </xf>
    <xf numFmtId="0" fontId="0" fillId="0" borderId="0" xfId="53" applyFont="1">
      <alignment/>
      <protection/>
    </xf>
    <xf numFmtId="0" fontId="0" fillId="0" borderId="0" xfId="53" applyFont="1" applyAlignment="1">
      <alignment horizontal="left" vertical="center"/>
      <protection/>
    </xf>
    <xf numFmtId="0" fontId="4" fillId="0" borderId="0" xfId="52" applyFont="1" applyAlignment="1">
      <alignment horizontal="left" vertical="center" wrapText="1"/>
      <protection/>
    </xf>
    <xf numFmtId="0" fontId="0" fillId="0" borderId="0" xfId="0" applyFont="1" applyBorder="1" applyAlignment="1">
      <alignment wrapText="1"/>
    </xf>
    <xf numFmtId="0" fontId="10" fillId="40" borderId="0" xfId="0" applyFont="1" applyFill="1" applyAlignment="1">
      <alignment vertical="center" wrapText="1"/>
    </xf>
    <xf numFmtId="0" fontId="7" fillId="0" borderId="0" xfId="0" applyFont="1" applyFill="1" applyBorder="1" applyAlignment="1">
      <alignment vertical="center" wrapText="1"/>
    </xf>
    <xf numFmtId="0" fontId="21" fillId="0" borderId="10" xfId="53" applyFont="1" applyFill="1" applyBorder="1" applyAlignment="1">
      <alignment horizontal="center" vertical="center"/>
      <protection/>
    </xf>
    <xf numFmtId="0" fontId="22" fillId="33" borderId="18" xfId="53" applyFont="1" applyFill="1" applyBorder="1" applyAlignment="1">
      <alignment horizontal="center" vertical="top" wrapText="1"/>
      <protection/>
    </xf>
    <xf numFmtId="0" fontId="22" fillId="33" borderId="19" xfId="53" applyFont="1" applyFill="1" applyBorder="1" applyAlignment="1">
      <alignment horizontal="center"/>
      <protection/>
    </xf>
    <xf numFmtId="0" fontId="22" fillId="33" borderId="19" xfId="53" applyFont="1" applyFill="1" applyBorder="1" applyAlignment="1">
      <alignment horizontal="center" vertical="center"/>
      <protection/>
    </xf>
    <xf numFmtId="0" fontId="22" fillId="33" borderId="20" xfId="53" applyFont="1" applyFill="1" applyBorder="1" applyAlignment="1">
      <alignment horizontal="center" vertical="center"/>
      <protection/>
    </xf>
    <xf numFmtId="0" fontId="22" fillId="0" borderId="10" xfId="53" applyFont="1" applyBorder="1" applyAlignment="1">
      <alignment horizontal="left" vertical="center" wrapText="1"/>
      <protection/>
    </xf>
    <xf numFmtId="3" fontId="22" fillId="0" borderId="10" xfId="53" applyNumberFormat="1" applyFont="1" applyBorder="1" applyAlignment="1">
      <alignment horizontal="right" vertical="center" wrapText="1"/>
      <protection/>
    </xf>
    <xf numFmtId="3" fontId="21" fillId="0" borderId="10" xfId="53" applyNumberFormat="1" applyFont="1" applyBorder="1" applyAlignment="1">
      <alignment horizontal="right" vertical="center"/>
      <protection/>
    </xf>
    <xf numFmtId="3" fontId="22" fillId="0" borderId="10" xfId="53" applyNumberFormat="1" applyFont="1" applyBorder="1" applyAlignment="1">
      <alignment horizontal="right" vertical="center"/>
      <protection/>
    </xf>
    <xf numFmtId="10" fontId="22" fillId="0" borderId="10" xfId="56" applyNumberFormat="1" applyFont="1" applyBorder="1" applyAlignment="1">
      <alignment horizontal="right" vertical="center"/>
    </xf>
    <xf numFmtId="0" fontId="22" fillId="0" borderId="10" xfId="53" applyFont="1" applyBorder="1" applyAlignment="1">
      <alignment horizontal="right" vertical="center" wrapText="1"/>
      <protection/>
    </xf>
    <xf numFmtId="3" fontId="22" fillId="0" borderId="10" xfId="53" applyNumberFormat="1" applyFont="1" applyBorder="1" applyAlignment="1" quotePrefix="1">
      <alignment horizontal="right" vertical="center" wrapText="1"/>
      <protection/>
    </xf>
    <xf numFmtId="0" fontId="22" fillId="0" borderId="10" xfId="53" applyFont="1" applyBorder="1" applyAlignment="1">
      <alignment horizontal="right" vertical="center"/>
      <protection/>
    </xf>
    <xf numFmtId="0" fontId="22" fillId="0" borderId="10" xfId="53" applyFont="1" applyFill="1" applyBorder="1" applyAlignment="1">
      <alignment horizontal="left" vertical="center" wrapText="1"/>
      <protection/>
    </xf>
    <xf numFmtId="0" fontId="22" fillId="0" borderId="10" xfId="53" applyFont="1" applyBorder="1" applyAlignment="1" quotePrefix="1">
      <alignment horizontal="left" vertical="center" wrapText="1"/>
      <protection/>
    </xf>
    <xf numFmtId="0" fontId="22" fillId="0" borderId="10" xfId="53" applyFont="1" applyFill="1" applyBorder="1" applyAlignment="1">
      <alignment horizontal="center" vertical="center" wrapText="1"/>
      <protection/>
    </xf>
    <xf numFmtId="3" fontId="22" fillId="0" borderId="10" xfId="53" applyNumberFormat="1" applyFont="1" applyFill="1" applyBorder="1" applyAlignment="1">
      <alignment horizontal="right" vertical="center" wrapText="1"/>
      <protection/>
    </xf>
    <xf numFmtId="0" fontId="22" fillId="0" borderId="10" xfId="53" applyFont="1" applyFill="1" applyBorder="1" applyAlignment="1" quotePrefix="1">
      <alignment horizontal="left" vertical="center" wrapText="1"/>
      <protection/>
    </xf>
    <xf numFmtId="3" fontId="22" fillId="0" borderId="10" xfId="53" applyNumberFormat="1" applyFont="1" applyFill="1" applyBorder="1" applyAlignment="1" quotePrefix="1">
      <alignment horizontal="right" vertical="center" wrapText="1"/>
      <protection/>
    </xf>
    <xf numFmtId="0" fontId="21" fillId="0" borderId="10" xfId="53" applyFont="1" applyBorder="1" applyAlignment="1">
      <alignment horizontal="left" vertical="center"/>
      <protection/>
    </xf>
    <xf numFmtId="0" fontId="22" fillId="0" borderId="10" xfId="53" applyFont="1" applyBorder="1" applyAlignment="1">
      <alignment horizontal="left" vertical="center"/>
      <protection/>
    </xf>
    <xf numFmtId="0" fontId="22" fillId="0" borderId="10" xfId="53" applyFont="1" applyFill="1" applyBorder="1" applyAlignment="1" quotePrefix="1">
      <alignment horizontal="left" vertical="center"/>
      <protection/>
    </xf>
    <xf numFmtId="3" fontId="22" fillId="0" borderId="10" xfId="53" applyNumberFormat="1" applyFont="1" applyBorder="1" applyAlignment="1">
      <alignment horizontal="left" vertical="center"/>
      <protection/>
    </xf>
    <xf numFmtId="0" fontId="22" fillId="0" borderId="10" xfId="53" applyFont="1" applyFill="1" applyBorder="1" applyAlignment="1">
      <alignment horizontal="center" vertical="center"/>
      <protection/>
    </xf>
    <xf numFmtId="0" fontId="22" fillId="0" borderId="10" xfId="53" applyFont="1" applyFill="1" applyBorder="1" applyAlignment="1">
      <alignment horizontal="right" vertical="center"/>
      <protection/>
    </xf>
    <xf numFmtId="0" fontId="22" fillId="0" borderId="10" xfId="53" applyFont="1" applyBorder="1" applyAlignment="1" quotePrefix="1">
      <alignment horizontal="left" vertical="center"/>
      <protection/>
    </xf>
    <xf numFmtId="0" fontId="22" fillId="0" borderId="10" xfId="53" applyFont="1" applyFill="1" applyBorder="1" applyAlignment="1">
      <alignment horizontal="left" vertical="center"/>
      <protection/>
    </xf>
    <xf numFmtId="0" fontId="22" fillId="0" borderId="40" xfId="53" applyFont="1" applyBorder="1" applyAlignment="1">
      <alignment horizontal="center" vertical="center" wrapText="1"/>
      <protection/>
    </xf>
    <xf numFmtId="0" fontId="22" fillId="0" borderId="10" xfId="53" applyFont="1" applyFill="1" applyBorder="1" applyAlignment="1" quotePrefix="1">
      <alignment horizontal="right" vertical="center" wrapText="1"/>
      <protection/>
    </xf>
    <xf numFmtId="0" fontId="21" fillId="0" borderId="10" xfId="53" applyFont="1" applyBorder="1" applyAlignment="1">
      <alignment horizontal="right" vertical="center"/>
      <protection/>
    </xf>
    <xf numFmtId="0" fontId="22" fillId="0" borderId="0" xfId="53" applyFont="1" applyAlignment="1">
      <alignment horizontal="left" vertical="center"/>
      <protection/>
    </xf>
    <xf numFmtId="0" fontId="22" fillId="0" borderId="10" xfId="53" applyFont="1" applyBorder="1" applyAlignment="1" quotePrefix="1">
      <alignment horizontal="right" vertical="center" wrapText="1"/>
      <protection/>
    </xf>
    <xf numFmtId="0" fontId="22" fillId="0" borderId="10" xfId="0" applyFont="1" applyBorder="1" applyAlignment="1">
      <alignment vertical="center"/>
    </xf>
    <xf numFmtId="3" fontId="22" fillId="0" borderId="10" xfId="0" applyNumberFormat="1" applyFont="1" applyBorder="1" applyAlignment="1">
      <alignment horizontal="right" vertical="center"/>
    </xf>
    <xf numFmtId="0" fontId="22" fillId="0" borderId="10" xfId="0" applyFont="1" applyBorder="1" applyAlignment="1">
      <alignment horizontal="right" vertical="center"/>
    </xf>
    <xf numFmtId="0" fontId="21" fillId="0" borderId="10" xfId="53" applyFont="1" applyFill="1" applyBorder="1" applyAlignment="1">
      <alignment horizontal="right" vertical="center"/>
      <protection/>
    </xf>
    <xf numFmtId="0" fontId="22" fillId="0" borderId="0" xfId="53" applyFont="1">
      <alignment/>
      <protection/>
    </xf>
    <xf numFmtId="0" fontId="22" fillId="0" borderId="0" xfId="0" applyFont="1" applyAlignment="1">
      <alignment/>
    </xf>
    <xf numFmtId="3" fontId="21" fillId="0" borderId="10" xfId="53" applyNumberFormat="1" applyFont="1" applyBorder="1" applyAlignment="1">
      <alignment horizontal="right" vertical="center" wrapText="1"/>
      <protection/>
    </xf>
    <xf numFmtId="3" fontId="21" fillId="0" borderId="10" xfId="53" applyNumberFormat="1" applyFont="1" applyFill="1" applyBorder="1" applyAlignment="1">
      <alignment horizontal="right" vertical="center" wrapText="1"/>
      <protection/>
    </xf>
    <xf numFmtId="0" fontId="22" fillId="0" borderId="10" xfId="53" applyFont="1" applyFill="1" applyBorder="1" applyAlignment="1">
      <alignment horizontal="right" vertical="center" wrapText="1"/>
      <protection/>
    </xf>
    <xf numFmtId="0" fontId="22" fillId="0" borderId="10" xfId="0" applyFont="1" applyFill="1" applyBorder="1" applyAlignment="1">
      <alignment horizontal="right" vertical="center"/>
    </xf>
    <xf numFmtId="0" fontId="21" fillId="0" borderId="0" xfId="0" applyFont="1" applyBorder="1" applyAlignment="1">
      <alignment horizontal="center" vertical="center" wrapText="1"/>
    </xf>
    <xf numFmtId="0" fontId="22" fillId="0" borderId="0" xfId="0" applyFont="1" applyAlignment="1">
      <alignment/>
    </xf>
    <xf numFmtId="0" fontId="22" fillId="0" borderId="0" xfId="0" applyFont="1" applyBorder="1" applyAlignment="1">
      <alignment/>
    </xf>
    <xf numFmtId="0" fontId="21" fillId="0" borderId="0" xfId="0" applyFont="1" applyBorder="1" applyAlignment="1">
      <alignment horizontal="center" vertical="top" wrapText="1"/>
    </xf>
    <xf numFmtId="0" fontId="21" fillId="0" borderId="21" xfId="0" applyFont="1" applyBorder="1" applyAlignment="1">
      <alignment horizontal="center" vertical="center" wrapText="1"/>
    </xf>
    <xf numFmtId="0" fontId="19" fillId="0" borderId="21"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0" xfId="0" applyFont="1" applyAlignment="1" applyProtection="1">
      <alignment/>
      <protection locked="0"/>
    </xf>
    <xf numFmtId="0" fontId="22" fillId="0" borderId="0" xfId="0" applyFont="1" applyBorder="1" applyAlignment="1">
      <alignment/>
    </xf>
    <xf numFmtId="0" fontId="22" fillId="0" borderId="0" xfId="0" applyFont="1" applyBorder="1" applyAlignment="1">
      <alignment horizontal="center" vertical="center" wrapText="1"/>
    </xf>
    <xf numFmtId="0" fontId="22" fillId="0" borderId="0" xfId="0" applyFont="1" applyAlignment="1">
      <alignment horizontal="center" vertical="center"/>
    </xf>
    <xf numFmtId="0" fontId="22" fillId="0" borderId="0" xfId="0" applyFont="1" applyBorder="1" applyAlignment="1">
      <alignment horizontal="center"/>
    </xf>
    <xf numFmtId="0" fontId="43" fillId="0" borderId="0" xfId="0" applyFont="1" applyFill="1" applyBorder="1" applyAlignment="1">
      <alignment horizontal="justify" vertical="center" wrapText="1"/>
    </xf>
    <xf numFmtId="0" fontId="22" fillId="0" borderId="0" xfId="0" applyFont="1" applyFill="1" applyBorder="1" applyAlignment="1">
      <alignment horizontal="justify" vertical="center" wrapText="1"/>
    </xf>
    <xf numFmtId="0" fontId="21" fillId="0" borderId="10" xfId="0" applyFont="1" applyBorder="1" applyAlignment="1">
      <alignment horizontal="center" vertical="center"/>
    </xf>
    <xf numFmtId="0" fontId="21" fillId="0" borderId="17" xfId="0" applyFont="1" applyBorder="1" applyAlignment="1">
      <alignment horizontal="center" vertical="center" wrapText="1"/>
    </xf>
    <xf numFmtId="0" fontId="22" fillId="41" borderId="41" xfId="0" applyFont="1" applyFill="1" applyBorder="1" applyAlignment="1">
      <alignment horizontal="center" vertical="center" wrapText="1"/>
    </xf>
    <xf numFmtId="0" fontId="22" fillId="41" borderId="23" xfId="0" applyFont="1" applyFill="1" applyBorder="1" applyAlignment="1">
      <alignment horizontal="center" vertical="center" wrapText="1"/>
    </xf>
    <xf numFmtId="0" fontId="22" fillId="41" borderId="42" xfId="0" applyFont="1" applyFill="1" applyBorder="1" applyAlignment="1">
      <alignment horizontal="center" vertical="center" wrapText="1"/>
    </xf>
    <xf numFmtId="0" fontId="22" fillId="0" borderId="0" xfId="0" applyFont="1" applyFill="1" applyBorder="1" applyAlignment="1">
      <alignment horizontal="center" vertical="center" wrapText="1"/>
    </xf>
    <xf numFmtId="3" fontId="22" fillId="0" borderId="10" xfId="0" applyNumberFormat="1" applyFont="1" applyBorder="1" applyAlignment="1">
      <alignment horizontal="center" vertical="center" wrapText="1"/>
    </xf>
    <xf numFmtId="0" fontId="44" fillId="0" borderId="13" xfId="0" applyFont="1" applyBorder="1" applyAlignment="1">
      <alignment horizontal="center" vertical="center" wrapText="1"/>
    </xf>
    <xf numFmtId="0" fontId="19" fillId="41" borderId="43" xfId="0" applyFont="1" applyFill="1" applyBorder="1" applyAlignment="1">
      <alignment horizontal="center"/>
    </xf>
    <xf numFmtId="0" fontId="19" fillId="41" borderId="44" xfId="0" applyFont="1" applyFill="1" applyBorder="1" applyAlignment="1">
      <alignment horizontal="center" vertical="top" wrapText="1"/>
    </xf>
    <xf numFmtId="0" fontId="19" fillId="41" borderId="45" xfId="0" applyFont="1" applyFill="1" applyBorder="1" applyAlignment="1">
      <alignment horizontal="center" vertical="top" wrapText="1"/>
    </xf>
    <xf numFmtId="0" fontId="44" fillId="0" borderId="46" xfId="0" applyFont="1" applyBorder="1" applyAlignment="1">
      <alignment horizontal="center" vertical="center" wrapText="1"/>
    </xf>
    <xf numFmtId="0" fontId="44" fillId="0" borderId="15" xfId="0" applyFont="1" applyFill="1" applyBorder="1" applyAlignment="1">
      <alignment horizontal="left" vertical="center" wrapText="1"/>
    </xf>
    <xf numFmtId="3" fontId="44" fillId="0" borderId="15" xfId="0" applyNumberFormat="1" applyFont="1" applyBorder="1" applyAlignment="1">
      <alignment horizontal="center" vertical="center" wrapText="1"/>
    </xf>
    <xf numFmtId="0" fontId="19" fillId="0" borderId="15" xfId="0" applyFont="1" applyBorder="1" applyAlignment="1">
      <alignment horizontal="center" vertical="center" wrapText="1"/>
    </xf>
    <xf numFmtId="0" fontId="19" fillId="0" borderId="12" xfId="0" applyFont="1" applyFill="1" applyBorder="1" applyAlignment="1">
      <alignment horizontal="left" vertical="center" wrapText="1"/>
    </xf>
    <xf numFmtId="3" fontId="19" fillId="0" borderId="12" xfId="0" applyNumberFormat="1" applyFont="1" applyBorder="1" applyAlignment="1">
      <alignment horizontal="center" vertical="center" wrapText="1"/>
    </xf>
    <xf numFmtId="0" fontId="44" fillId="0" borderId="47" xfId="0" applyFont="1" applyBorder="1" applyAlignment="1">
      <alignment horizontal="center" vertical="center" wrapText="1"/>
    </xf>
    <xf numFmtId="0" fontId="44" fillId="0" borderId="0" xfId="0" applyFont="1" applyFill="1" applyAlignment="1">
      <alignment horizontal="left" vertical="center"/>
    </xf>
    <xf numFmtId="3" fontId="44" fillId="0" borderId="12" xfId="0" applyNumberFormat="1" applyFont="1" applyBorder="1" applyAlignment="1">
      <alignment horizontal="center" vertical="center" wrapText="1"/>
    </xf>
    <xf numFmtId="0" fontId="19" fillId="0" borderId="46"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48" xfId="0" applyFont="1" applyFill="1" applyBorder="1" applyAlignment="1">
      <alignment horizontal="left" vertical="center" wrapText="1"/>
    </xf>
    <xf numFmtId="0" fontId="19" fillId="0" borderId="22" xfId="0" applyFont="1" applyBorder="1" applyAlignment="1">
      <alignment horizontal="center" vertical="center" wrapText="1"/>
    </xf>
    <xf numFmtId="0" fontId="19" fillId="0" borderId="48" xfId="0" applyFont="1" applyFill="1" applyBorder="1" applyAlignment="1">
      <alignment horizontal="left" vertical="center" wrapText="1"/>
    </xf>
    <xf numFmtId="0" fontId="19" fillId="0" borderId="48" xfId="0" applyFont="1" applyBorder="1" applyAlignment="1">
      <alignment horizontal="left" vertical="center" wrapText="1"/>
    </xf>
    <xf numFmtId="0" fontId="44" fillId="0" borderId="48" xfId="0" applyFont="1" applyBorder="1" applyAlignment="1">
      <alignment horizontal="left" vertical="center" wrapText="1"/>
    </xf>
    <xf numFmtId="0" fontId="22" fillId="0" borderId="0" xfId="0" applyFont="1" applyAlignment="1">
      <alignment horizontal="center"/>
    </xf>
    <xf numFmtId="0" fontId="21" fillId="0" borderId="0" xfId="0" applyFont="1" applyAlignment="1">
      <alignment horizontal="center" vertical="center"/>
    </xf>
    <xf numFmtId="0" fontId="21" fillId="0" borderId="0" xfId="0" applyFont="1" applyAlignment="1" applyProtection="1">
      <alignment horizontal="center" vertical="center"/>
      <protection locked="0"/>
    </xf>
    <xf numFmtId="0" fontId="22" fillId="0" borderId="0" xfId="0" applyFont="1" applyAlignment="1">
      <alignment vertical="center"/>
    </xf>
    <xf numFmtId="0" fontId="21" fillId="0" borderId="0" xfId="0" applyFont="1" applyFill="1" applyBorder="1" applyAlignment="1">
      <alignment horizontal="left" vertical="center" wrapText="1"/>
    </xf>
    <xf numFmtId="0" fontId="21" fillId="0" borderId="0" xfId="0" applyFont="1" applyAlignment="1">
      <alignment/>
    </xf>
    <xf numFmtId="0" fontId="23" fillId="0" borderId="0" xfId="0" applyFont="1" applyBorder="1" applyAlignment="1">
      <alignment vertical="top"/>
    </xf>
    <xf numFmtId="0" fontId="23" fillId="0" borderId="0" xfId="0" applyFont="1" applyAlignment="1">
      <alignment/>
    </xf>
    <xf numFmtId="0" fontId="22" fillId="0" borderId="0" xfId="0" applyFont="1" applyFill="1" applyAlignment="1">
      <alignment/>
    </xf>
    <xf numFmtId="3" fontId="4" fillId="0" borderId="21" xfId="0" applyNumberFormat="1" applyFont="1" applyBorder="1" applyAlignment="1">
      <alignment horizontal="center" vertical="center"/>
    </xf>
    <xf numFmtId="3" fontId="4" fillId="0" borderId="10" xfId="0" applyNumberFormat="1" applyFont="1" applyBorder="1" applyAlignment="1">
      <alignment horizontal="center" vertical="center" wrapText="1"/>
    </xf>
    <xf numFmtId="3" fontId="4" fillId="0" borderId="21" xfId="0" applyNumberFormat="1" applyFont="1" applyBorder="1" applyAlignment="1">
      <alignment horizontal="center" vertical="center" wrapText="1"/>
    </xf>
    <xf numFmtId="3" fontId="0" fillId="0" borderId="21" xfId="0" applyNumberFormat="1" applyFont="1" applyBorder="1" applyAlignment="1">
      <alignment horizontal="center" vertical="center" wrapText="1"/>
    </xf>
    <xf numFmtId="3" fontId="0" fillId="0" borderId="10" xfId="0" applyNumberFormat="1" applyFont="1" applyBorder="1" applyAlignment="1">
      <alignment horizontal="center" vertical="center" wrapText="1"/>
    </xf>
    <xf numFmtId="3" fontId="0" fillId="0" borderId="21" xfId="0" applyNumberFormat="1" applyFont="1" applyBorder="1" applyAlignment="1">
      <alignment horizontal="center" vertical="center"/>
    </xf>
    <xf numFmtId="3" fontId="0" fillId="0" borderId="10" xfId="0" applyNumberFormat="1" applyFont="1" applyBorder="1" applyAlignment="1">
      <alignment horizontal="center" vertical="center"/>
    </xf>
    <xf numFmtId="3" fontId="21" fillId="0" borderId="21" xfId="0" applyNumberFormat="1" applyFont="1" applyBorder="1" applyAlignment="1">
      <alignment horizontal="center" vertical="center" wrapText="1"/>
    </xf>
    <xf numFmtId="4" fontId="21" fillId="0" borderId="10" xfId="53" applyNumberFormat="1" applyFont="1" applyBorder="1" applyAlignment="1">
      <alignment horizontal="right" vertical="center"/>
      <protection/>
    </xf>
    <xf numFmtId="0" fontId="0" fillId="41" borderId="49" xfId="0" applyFont="1" applyFill="1" applyBorder="1" applyAlignment="1">
      <alignment horizontal="center" vertical="center" wrapText="1"/>
    </xf>
    <xf numFmtId="0" fontId="0" fillId="41" borderId="47" xfId="0" applyFont="1" applyFill="1" applyBorder="1" applyAlignment="1">
      <alignment horizontal="center" vertical="center" wrapText="1"/>
    </xf>
    <xf numFmtId="0" fontId="0" fillId="41" borderId="50"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45" fillId="0" borderId="10" xfId="0" applyFont="1" applyBorder="1" applyAlignment="1">
      <alignment horizontal="left" vertical="top"/>
    </xf>
    <xf numFmtId="0" fontId="45" fillId="0" borderId="10" xfId="0" applyFont="1" applyBorder="1" applyAlignment="1">
      <alignment horizontal="left" vertical="top" wrapText="1"/>
    </xf>
    <xf numFmtId="0" fontId="45" fillId="0" borderId="10" xfId="0" applyFont="1" applyBorder="1" applyAlignment="1">
      <alignment/>
    </xf>
    <xf numFmtId="0" fontId="22" fillId="0" borderId="10" xfId="0" applyFont="1" applyBorder="1" applyAlignment="1">
      <alignment horizontal="center" vertical="center"/>
    </xf>
    <xf numFmtId="4" fontId="22" fillId="0" borderId="10" xfId="0" applyNumberFormat="1" applyFont="1" applyBorder="1" applyAlignment="1">
      <alignment horizontal="center" vertical="center"/>
    </xf>
    <xf numFmtId="0" fontId="46" fillId="0" borderId="10" xfId="0" applyFont="1" applyBorder="1" applyAlignment="1">
      <alignment horizontal="center" vertical="center"/>
    </xf>
    <xf numFmtId="0" fontId="46" fillId="0" borderId="0" xfId="0" applyFont="1" applyAlignment="1">
      <alignment horizontal="center" vertical="center"/>
    </xf>
    <xf numFmtId="4" fontId="46" fillId="0" borderId="10" xfId="0" applyNumberFormat="1" applyFont="1" applyBorder="1" applyAlignment="1">
      <alignment horizontal="center" vertical="center"/>
    </xf>
    <xf numFmtId="2" fontId="46" fillId="0" borderId="10" xfId="0" applyNumberFormat="1" applyFont="1" applyBorder="1" applyAlignment="1">
      <alignment horizontal="center" vertical="center"/>
    </xf>
    <xf numFmtId="3" fontId="0" fillId="0" borderId="10" xfId="52" applyNumberFormat="1" applyFont="1" applyFill="1" applyBorder="1" applyAlignment="1">
      <alignment horizontal="center" vertical="center" wrapText="1"/>
      <protection/>
    </xf>
    <xf numFmtId="10" fontId="0" fillId="0" borderId="10" xfId="52" applyNumberFormat="1" applyFont="1" applyFill="1" applyBorder="1" applyAlignment="1">
      <alignment horizontal="center" vertical="center" wrapText="1"/>
      <protection/>
    </xf>
    <xf numFmtId="3" fontId="4" fillId="0" borderId="10" xfId="52" applyNumberFormat="1" applyFont="1" applyFill="1" applyBorder="1" applyAlignment="1">
      <alignment horizontal="center" vertical="center" wrapText="1"/>
      <protection/>
    </xf>
    <xf numFmtId="1" fontId="0" fillId="0" borderId="0" xfId="53" applyNumberFormat="1" applyFont="1" applyAlignment="1">
      <alignment horizontal="left" vertical="center"/>
      <protection/>
    </xf>
    <xf numFmtId="0" fontId="22" fillId="0" borderId="10" xfId="53" applyFont="1" applyBorder="1" applyAlignment="1">
      <alignment horizontal="center" vertical="center" wrapText="1"/>
      <protection/>
    </xf>
    <xf numFmtId="0" fontId="22" fillId="0" borderId="10" xfId="53" applyFont="1" applyBorder="1" applyAlignment="1">
      <alignment horizontal="center" vertical="center"/>
      <protection/>
    </xf>
    <xf numFmtId="0" fontId="22" fillId="0" borderId="23" xfId="53" applyFont="1" applyBorder="1" applyAlignment="1">
      <alignment horizontal="center" vertical="center"/>
      <protection/>
    </xf>
    <xf numFmtId="0" fontId="44" fillId="0" borderId="12" xfId="0" applyFont="1" applyBorder="1" applyAlignment="1">
      <alignment horizontal="center" vertical="center" wrapText="1"/>
    </xf>
    <xf numFmtId="0" fontId="22" fillId="0" borderId="0" xfId="0" applyFont="1" applyFill="1" applyBorder="1" applyAlignment="1">
      <alignment/>
    </xf>
    <xf numFmtId="3" fontId="22" fillId="0" borderId="21" xfId="0" applyNumberFormat="1" applyFont="1" applyBorder="1" applyAlignment="1">
      <alignment horizontal="center" vertical="center" wrapText="1"/>
    </xf>
    <xf numFmtId="3" fontId="21" fillId="0" borderId="21" xfId="0" applyNumberFormat="1" applyFont="1" applyBorder="1" applyAlignment="1">
      <alignment horizontal="center" vertical="center" wrapText="1"/>
    </xf>
    <xf numFmtId="1" fontId="0" fillId="0" borderId="0" xfId="53" applyNumberFormat="1" applyFont="1">
      <alignment/>
      <protection/>
    </xf>
    <xf numFmtId="0" fontId="0" fillId="0" borderId="0" xfId="53" applyFont="1" applyBorder="1" applyAlignment="1">
      <alignment/>
      <protection/>
    </xf>
    <xf numFmtId="0" fontId="0" fillId="0" borderId="0" xfId="53" applyFont="1" applyBorder="1">
      <alignment/>
      <protection/>
    </xf>
    <xf numFmtId="0" fontId="0" fillId="0" borderId="0" xfId="53" applyFont="1" applyProtection="1">
      <alignment/>
      <protection locked="0"/>
    </xf>
    <xf numFmtId="1" fontId="0" fillId="0" borderId="0" xfId="0" applyNumberFormat="1" applyFont="1" applyAlignment="1">
      <alignment/>
    </xf>
    <xf numFmtId="0" fontId="0" fillId="0" borderId="0" xfId="0" applyFont="1" applyAlignment="1">
      <alignment/>
    </xf>
    <xf numFmtId="1" fontId="0" fillId="0" borderId="0" xfId="53" applyNumberFormat="1" applyFont="1" applyAlignment="1">
      <alignment horizontal="justify" vertical="center"/>
      <protection/>
    </xf>
    <xf numFmtId="0" fontId="0" fillId="0" borderId="0" xfId="53" applyFont="1" applyAlignment="1">
      <alignment horizontal="justify" vertical="center"/>
      <protection/>
    </xf>
    <xf numFmtId="1" fontId="0" fillId="0" borderId="0" xfId="53" applyNumberFormat="1" applyFont="1" applyAlignment="1">
      <alignment horizontal="left" vertical="center" wrapText="1"/>
      <protection/>
    </xf>
    <xf numFmtId="0" fontId="0" fillId="0" borderId="0" xfId="53" applyFont="1" applyAlignment="1">
      <alignment horizontal="left" vertical="center" wrapText="1"/>
      <protection/>
    </xf>
    <xf numFmtId="1" fontId="0" fillId="0" borderId="0" xfId="53" applyNumberFormat="1" applyFont="1" applyFill="1" applyAlignment="1">
      <alignment horizontal="left" vertical="center"/>
      <protection/>
    </xf>
    <xf numFmtId="0" fontId="0" fillId="0" borderId="0" xfId="53" applyFont="1" applyFill="1" applyAlignment="1">
      <alignment horizontal="left" vertical="center"/>
      <protection/>
    </xf>
    <xf numFmtId="3" fontId="22" fillId="0" borderId="10" xfId="53" applyNumberFormat="1" applyFont="1" applyFill="1" applyBorder="1" applyAlignment="1">
      <alignment horizontal="right" vertical="center"/>
      <protection/>
    </xf>
    <xf numFmtId="0" fontId="44" fillId="0" borderId="51" xfId="0" applyFont="1" applyBorder="1" applyAlignment="1">
      <alignment horizontal="center" vertical="center" wrapText="1"/>
    </xf>
    <xf numFmtId="0" fontId="19" fillId="0" borderId="14" xfId="0" applyFont="1" applyBorder="1" applyAlignment="1">
      <alignment horizontal="center" vertical="center" wrapText="1"/>
    </xf>
    <xf numFmtId="0" fontId="44" fillId="0" borderId="52" xfId="0" applyFont="1" applyBorder="1" applyAlignment="1">
      <alignment horizontal="center" vertical="center" wrapText="1"/>
    </xf>
    <xf numFmtId="0" fontId="19" fillId="0" borderId="51" xfId="0" applyFont="1" applyBorder="1" applyAlignment="1">
      <alignment horizontal="center" vertical="center" wrapText="1"/>
    </xf>
    <xf numFmtId="0" fontId="44" fillId="0" borderId="53"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54" xfId="0" applyFont="1" applyBorder="1" applyAlignment="1">
      <alignment horizontal="center" vertical="center" wrapText="1"/>
    </xf>
    <xf numFmtId="0" fontId="44" fillId="0" borderId="10" xfId="0" applyFont="1" applyFill="1" applyBorder="1" applyAlignment="1">
      <alignment horizontal="left" vertical="center" wrapText="1"/>
    </xf>
    <xf numFmtId="3" fontId="44" fillId="0" borderId="10" xfId="0" applyNumberFormat="1" applyFont="1" applyBorder="1" applyAlignment="1">
      <alignment horizontal="center" vertical="center" wrapText="1"/>
    </xf>
    <xf numFmtId="0" fontId="19" fillId="0" borderId="10" xfId="0" applyFont="1" applyFill="1" applyBorder="1" applyAlignment="1">
      <alignment horizontal="left" vertical="center" wrapText="1"/>
    </xf>
    <xf numFmtId="3" fontId="19" fillId="0" borderId="10" xfId="0" applyNumberFormat="1" applyFont="1" applyBorder="1" applyAlignment="1">
      <alignment horizontal="center" vertical="center" wrapText="1"/>
    </xf>
    <xf numFmtId="0" fontId="44" fillId="0" borderId="10" xfId="0" applyFont="1" applyFill="1" applyBorder="1" applyAlignment="1">
      <alignment horizontal="left" vertical="center"/>
    </xf>
    <xf numFmtId="0" fontId="19" fillId="0" borderId="10" xfId="0" applyFont="1" applyBorder="1" applyAlignment="1">
      <alignment horizontal="left" vertical="center" wrapText="1"/>
    </xf>
    <xf numFmtId="0" fontId="44" fillId="0" borderId="10" xfId="0" applyFont="1" applyBorder="1" applyAlignment="1">
      <alignment horizontal="left" vertical="center" wrapText="1"/>
    </xf>
    <xf numFmtId="0" fontId="21" fillId="0" borderId="10" xfId="0" applyFont="1" applyBorder="1" applyAlignment="1">
      <alignment horizontal="center" vertical="center" wrapText="1"/>
    </xf>
    <xf numFmtId="3" fontId="21" fillId="0" borderId="21" xfId="0" applyNumberFormat="1" applyFont="1" applyBorder="1" applyAlignment="1">
      <alignment horizontal="center" vertical="center" wrapText="1"/>
    </xf>
    <xf numFmtId="3" fontId="22" fillId="0" borderId="21" xfId="0" applyNumberFormat="1" applyFont="1" applyBorder="1" applyAlignment="1">
      <alignment horizontal="center" vertical="center" wrapText="1"/>
    </xf>
    <xf numFmtId="3" fontId="22" fillId="0" borderId="10" xfId="0" applyNumberFormat="1" applyFont="1" applyBorder="1" applyAlignment="1">
      <alignment horizontal="center" vertical="center" wrapText="1"/>
    </xf>
    <xf numFmtId="10" fontId="0" fillId="0" borderId="0" xfId="52" applyNumberFormat="1" applyFont="1" applyAlignment="1">
      <alignment vertical="center" wrapText="1"/>
      <protection/>
    </xf>
    <xf numFmtId="0" fontId="0" fillId="0" borderId="22" xfId="0" applyFont="1" applyBorder="1" applyAlignment="1">
      <alignment horizontal="center" vertical="center"/>
    </xf>
    <xf numFmtId="0" fontId="0" fillId="0" borderId="21" xfId="0" applyFont="1" applyBorder="1" applyAlignment="1">
      <alignment vertical="center" wrapText="1"/>
    </xf>
    <xf numFmtId="0" fontId="0" fillId="0" borderId="23" xfId="0" applyFont="1" applyBorder="1" applyAlignment="1">
      <alignment horizontal="center" vertical="center"/>
    </xf>
    <xf numFmtId="0" fontId="0" fillId="0" borderId="0" xfId="0" applyFont="1" applyAlignment="1">
      <alignment vertical="center" wrapText="1"/>
    </xf>
    <xf numFmtId="0" fontId="0" fillId="0" borderId="21" xfId="0" applyFont="1" applyBorder="1" applyAlignment="1">
      <alignment horizontal="center" vertical="center"/>
    </xf>
    <xf numFmtId="0" fontId="0" fillId="0" borderId="24" xfId="0" applyFont="1" applyBorder="1" applyAlignment="1">
      <alignment vertical="center" wrapText="1"/>
    </xf>
    <xf numFmtId="0" fontId="0" fillId="0" borderId="21" xfId="0" applyFont="1" applyBorder="1" applyAlignment="1">
      <alignment horizontal="left"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19" fillId="0" borderId="55" xfId="0" applyFont="1" applyBorder="1" applyAlignment="1">
      <alignment horizontal="left" vertical="center" wrapText="1"/>
    </xf>
    <xf numFmtId="3" fontId="44" fillId="0" borderId="46" xfId="0" applyNumberFormat="1" applyFont="1" applyBorder="1" applyAlignment="1">
      <alignment horizontal="center" vertical="center" wrapText="1"/>
    </xf>
    <xf numFmtId="4" fontId="47" fillId="0" borderId="10" xfId="0" applyNumberFormat="1" applyFont="1" applyFill="1" applyBorder="1" applyAlignment="1">
      <alignment horizontal="center" vertical="center"/>
    </xf>
    <xf numFmtId="2" fontId="21" fillId="0" borderId="10" xfId="53" applyNumberFormat="1" applyFont="1" applyBorder="1" applyAlignment="1">
      <alignment horizontal="right" vertical="center" wrapText="1"/>
      <protection/>
    </xf>
    <xf numFmtId="4" fontId="21" fillId="0" borderId="10" xfId="53" applyNumberFormat="1" applyFont="1" applyBorder="1" applyAlignment="1">
      <alignment horizontal="right" vertical="center" wrapText="1"/>
      <protection/>
    </xf>
    <xf numFmtId="0" fontId="22" fillId="0" borderId="40" xfId="53" applyFont="1" applyBorder="1" applyAlignment="1">
      <alignment horizontal="left"/>
      <protection/>
    </xf>
    <xf numFmtId="0" fontId="22" fillId="0" borderId="56" xfId="53" applyFont="1" applyBorder="1" applyAlignment="1">
      <alignment horizontal="left"/>
      <protection/>
    </xf>
    <xf numFmtId="0" fontId="22" fillId="0" borderId="24" xfId="53" applyFont="1" applyBorder="1" applyAlignment="1">
      <alignment horizontal="left"/>
      <protection/>
    </xf>
    <xf numFmtId="0" fontId="22" fillId="0" borderId="0" xfId="0" applyFont="1" applyAlignment="1">
      <alignment horizontal="left"/>
    </xf>
    <xf numFmtId="0" fontId="21" fillId="33" borderId="40" xfId="53" applyFont="1" applyFill="1" applyBorder="1" applyAlignment="1">
      <alignment horizontal="center" vertical="center"/>
      <protection/>
    </xf>
    <xf numFmtId="0" fontId="22" fillId="0" borderId="56" xfId="0" applyFont="1" applyBorder="1" applyAlignment="1">
      <alignment vertical="center"/>
    </xf>
    <xf numFmtId="0" fontId="22" fillId="0" borderId="24" xfId="0" applyFont="1" applyBorder="1" applyAlignment="1">
      <alignment vertical="center"/>
    </xf>
    <xf numFmtId="0" fontId="21" fillId="33" borderId="40" xfId="53" applyFont="1" applyFill="1" applyBorder="1" applyAlignment="1">
      <alignment horizontal="center" vertical="center" wrapText="1"/>
      <protection/>
    </xf>
    <xf numFmtId="0" fontId="21" fillId="33" borderId="56" xfId="53" applyFont="1" applyFill="1" applyBorder="1" applyAlignment="1">
      <alignment horizontal="center" vertical="center" wrapText="1"/>
      <protection/>
    </xf>
    <xf numFmtId="0" fontId="21" fillId="33" borderId="24" xfId="53" applyFont="1" applyFill="1" applyBorder="1" applyAlignment="1">
      <alignment horizontal="center" vertical="center" wrapText="1"/>
      <protection/>
    </xf>
    <xf numFmtId="0" fontId="22" fillId="0" borderId="23" xfId="53" applyFont="1" applyBorder="1" applyAlignment="1">
      <alignment horizontal="center" vertical="center"/>
      <protection/>
    </xf>
    <xf numFmtId="0" fontId="22" fillId="0" borderId="22" xfId="0" applyFont="1" applyBorder="1" applyAlignment="1">
      <alignment horizontal="center" vertical="center"/>
    </xf>
    <xf numFmtId="0" fontId="22" fillId="0" borderId="21" xfId="0" applyFont="1" applyBorder="1" applyAlignment="1">
      <alignment horizontal="center" vertical="center"/>
    </xf>
    <xf numFmtId="0" fontId="21" fillId="0" borderId="40" xfId="53" applyFont="1" applyBorder="1" applyAlignment="1">
      <alignment horizontal="center"/>
      <protection/>
    </xf>
    <xf numFmtId="0" fontId="21" fillId="0" borderId="24" xfId="53" applyFont="1" applyBorder="1" applyAlignment="1">
      <alignment horizontal="center"/>
      <protection/>
    </xf>
    <xf numFmtId="0" fontId="22" fillId="0" borderId="40" xfId="0" applyFont="1" applyBorder="1" applyAlignment="1">
      <alignment horizontal="center"/>
    </xf>
    <xf numFmtId="0" fontId="22" fillId="0" borderId="56" xfId="0" applyFont="1" applyBorder="1" applyAlignment="1">
      <alignment horizontal="center"/>
    </xf>
    <xf numFmtId="0" fontId="22" fillId="0" borderId="24" xfId="0" applyFont="1" applyBorder="1" applyAlignment="1">
      <alignment horizontal="center"/>
    </xf>
    <xf numFmtId="0" fontId="21" fillId="33" borderId="56" xfId="53" applyFont="1" applyFill="1" applyBorder="1" applyAlignment="1">
      <alignment horizontal="center" vertical="center"/>
      <protection/>
    </xf>
    <xf numFmtId="0" fontId="21" fillId="33" borderId="24" xfId="53" applyFont="1" applyFill="1" applyBorder="1" applyAlignment="1">
      <alignment horizontal="center" vertical="center"/>
      <protection/>
    </xf>
    <xf numFmtId="0" fontId="22" fillId="0" borderId="10" xfId="53" applyFont="1" applyBorder="1" applyAlignment="1">
      <alignment horizontal="center" vertical="center"/>
      <protection/>
    </xf>
    <xf numFmtId="0" fontId="22" fillId="0" borderId="22" xfId="53" applyFont="1" applyBorder="1" applyAlignment="1">
      <alignment horizontal="center" vertical="center"/>
      <protection/>
    </xf>
    <xf numFmtId="0" fontId="22" fillId="0" borderId="21" xfId="53" applyFont="1" applyBorder="1" applyAlignment="1">
      <alignment horizontal="center" vertical="center"/>
      <protection/>
    </xf>
    <xf numFmtId="0" fontId="22" fillId="0" borderId="40" xfId="53" applyFont="1" applyFill="1" applyBorder="1" applyAlignment="1">
      <alignment horizontal="left" vertical="center" wrapText="1"/>
      <protection/>
    </xf>
    <xf numFmtId="0" fontId="22" fillId="0" borderId="56" xfId="53" applyFont="1" applyFill="1" applyBorder="1" applyAlignment="1">
      <alignment horizontal="left" vertical="center" wrapText="1"/>
      <protection/>
    </xf>
    <xf numFmtId="0" fontId="22" fillId="0" borderId="24" xfId="53" applyFont="1" applyFill="1" applyBorder="1" applyAlignment="1">
      <alignment horizontal="left" vertical="center" wrapText="1"/>
      <protection/>
    </xf>
    <xf numFmtId="0" fontId="22" fillId="0" borderId="23" xfId="53" applyFont="1" applyBorder="1" applyAlignment="1">
      <alignment horizontal="center" vertical="center" wrapText="1"/>
      <protection/>
    </xf>
    <xf numFmtId="0" fontId="22" fillId="0" borderId="22" xfId="53" applyFont="1" applyBorder="1" applyAlignment="1">
      <alignment horizontal="center" vertical="center" wrapText="1"/>
      <protection/>
    </xf>
    <xf numFmtId="0" fontId="22" fillId="0" borderId="21" xfId="53" applyFont="1" applyBorder="1" applyAlignment="1">
      <alignment horizontal="center" vertical="center" wrapText="1"/>
      <protection/>
    </xf>
    <xf numFmtId="0" fontId="22" fillId="0" borderId="10" xfId="53" applyFont="1" applyBorder="1" applyAlignment="1">
      <alignment horizontal="center" vertical="center" wrapText="1"/>
      <protection/>
    </xf>
    <xf numFmtId="0" fontId="21" fillId="33" borderId="21" xfId="53" applyFont="1" applyFill="1" applyBorder="1" applyAlignment="1">
      <alignment horizontal="center" vertical="center" wrapText="1"/>
      <protection/>
    </xf>
    <xf numFmtId="0" fontId="4" fillId="0" borderId="0" xfId="53" applyFont="1" applyFill="1" applyBorder="1" applyAlignment="1">
      <alignment horizontal="justify" vertical="center" wrapText="1"/>
      <protection/>
    </xf>
    <xf numFmtId="0" fontId="14" fillId="0" borderId="0" xfId="53" applyFont="1" applyFill="1" applyBorder="1" applyAlignment="1">
      <alignment horizontal="justify" vertical="center" wrapText="1"/>
      <protection/>
    </xf>
    <xf numFmtId="0" fontId="11" fillId="0" borderId="0" xfId="53" applyNumberFormat="1" applyFont="1" applyFill="1" applyBorder="1" applyAlignment="1">
      <alignment horizontal="justify" vertical="center" wrapText="1"/>
      <protection/>
    </xf>
    <xf numFmtId="0" fontId="14" fillId="0" borderId="0" xfId="53" applyNumberFormat="1" applyFont="1" applyFill="1" applyBorder="1" applyAlignment="1">
      <alignment horizontal="justify" vertical="center" wrapText="1"/>
      <protection/>
    </xf>
    <xf numFmtId="0" fontId="4" fillId="0" borderId="0" xfId="53" applyFont="1" applyFill="1" applyBorder="1" applyAlignment="1">
      <alignment horizontal="left" vertical="center" wrapText="1"/>
      <protection/>
    </xf>
    <xf numFmtId="0" fontId="21" fillId="0" borderId="57" xfId="53" applyFont="1" applyBorder="1" applyAlignment="1">
      <alignment horizontal="center" vertical="center" wrapText="1"/>
      <protection/>
    </xf>
    <xf numFmtId="0" fontId="21" fillId="0" borderId="58" xfId="53" applyFont="1" applyBorder="1" applyAlignment="1">
      <alignment horizontal="center" vertical="center" wrapText="1"/>
      <protection/>
    </xf>
    <xf numFmtId="0" fontId="21" fillId="0" borderId="59" xfId="53" applyFont="1" applyBorder="1" applyAlignment="1">
      <alignment horizontal="center" vertical="center"/>
      <protection/>
    </xf>
    <xf numFmtId="0" fontId="21" fillId="0" borderId="21" xfId="53" applyFont="1" applyBorder="1" applyAlignment="1">
      <alignment horizontal="center" vertical="center"/>
      <protection/>
    </xf>
    <xf numFmtId="0" fontId="21" fillId="0" borderId="59" xfId="53" applyFont="1" applyBorder="1" applyAlignment="1">
      <alignment horizontal="center" vertical="center" wrapText="1"/>
      <protection/>
    </xf>
    <xf numFmtId="0" fontId="21" fillId="0" borderId="21" xfId="53" applyFont="1" applyBorder="1" applyAlignment="1">
      <alignment horizontal="center" vertical="center" wrapText="1"/>
      <protection/>
    </xf>
    <xf numFmtId="0" fontId="21" fillId="0" borderId="60" xfId="53" applyFont="1" applyBorder="1" applyAlignment="1">
      <alignment horizontal="center" vertical="center"/>
      <protection/>
    </xf>
    <xf numFmtId="0" fontId="21" fillId="0" borderId="61" xfId="53" applyFont="1" applyBorder="1" applyAlignment="1">
      <alignment horizontal="center" vertical="center"/>
      <protection/>
    </xf>
    <xf numFmtId="0" fontId="21" fillId="0" borderId="62" xfId="53" applyFont="1" applyBorder="1" applyAlignment="1">
      <alignment horizontal="center" vertical="center"/>
      <protection/>
    </xf>
    <xf numFmtId="0" fontId="21" fillId="0" borderId="63" xfId="53" applyFont="1" applyBorder="1" applyAlignment="1">
      <alignment horizontal="center" vertical="center" wrapText="1"/>
      <protection/>
    </xf>
    <xf numFmtId="0" fontId="21" fillId="0" borderId="64" xfId="53" applyFont="1" applyBorder="1" applyAlignment="1">
      <alignment horizontal="center" vertical="center" wrapText="1"/>
      <protection/>
    </xf>
    <xf numFmtId="0" fontId="9" fillId="0" borderId="0" xfId="53" applyFont="1" applyBorder="1" applyAlignment="1">
      <alignment horizontal="left" vertical="top" wrapText="1"/>
      <protection/>
    </xf>
    <xf numFmtId="0" fontId="9" fillId="0" borderId="0" xfId="53" applyFont="1" applyBorder="1" applyAlignment="1">
      <alignment horizontal="left" vertical="top"/>
      <protection/>
    </xf>
    <xf numFmtId="0" fontId="9" fillId="0" borderId="0" xfId="53" applyFont="1" applyFill="1" applyBorder="1" applyAlignment="1">
      <alignment horizontal="left" vertical="center" wrapText="1"/>
      <protection/>
    </xf>
    <xf numFmtId="0" fontId="10" fillId="0" borderId="0" xfId="0" applyFont="1" applyAlignment="1">
      <alignment horizontal="justify" vertical="center" wrapText="1"/>
    </xf>
    <xf numFmtId="0" fontId="13" fillId="0" borderId="0" xfId="53" applyFont="1" applyFill="1" applyBorder="1" applyAlignment="1">
      <alignment horizontal="justify" vertical="center" wrapText="1"/>
      <protection/>
    </xf>
    <xf numFmtId="0" fontId="5" fillId="0" borderId="0" xfId="53" applyFont="1" applyAlignment="1">
      <alignment horizontal="left" wrapText="1"/>
      <protection/>
    </xf>
    <xf numFmtId="0" fontId="5" fillId="0" borderId="0" xfId="53" applyFont="1" applyAlignment="1">
      <alignment horizontal="left"/>
      <protection/>
    </xf>
    <xf numFmtId="0" fontId="7" fillId="0" borderId="10"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7" fillId="0" borderId="10" xfId="53" applyFont="1" applyBorder="1" applyAlignment="1">
      <alignment horizontal="center" vertical="center"/>
      <protection/>
    </xf>
    <xf numFmtId="0" fontId="0" fillId="0" borderId="10" xfId="53" applyFont="1" applyBorder="1" applyAlignment="1">
      <alignment horizontal="center"/>
      <protection/>
    </xf>
    <xf numFmtId="0" fontId="0" fillId="0" borderId="10" xfId="53" applyFont="1" applyBorder="1" applyAlignment="1">
      <alignment horizontal="center"/>
      <protection/>
    </xf>
    <xf numFmtId="0" fontId="22" fillId="0" borderId="0" xfId="0" applyFont="1" applyBorder="1" applyAlignment="1">
      <alignment horizontal="left" wrapText="1"/>
    </xf>
    <xf numFmtId="0" fontId="22" fillId="0" borderId="0" xfId="0" applyFont="1" applyBorder="1" applyAlignment="1">
      <alignment wrapText="1"/>
    </xf>
    <xf numFmtId="3" fontId="22" fillId="0" borderId="21" xfId="0" applyNumberFormat="1" applyFont="1" applyBorder="1" applyAlignment="1">
      <alignment horizontal="center" vertical="center" wrapText="1"/>
    </xf>
    <xf numFmtId="3" fontId="22" fillId="0" borderId="10" xfId="0" applyNumberFormat="1" applyFont="1" applyBorder="1" applyAlignment="1">
      <alignment horizontal="center" vertical="center" wrapText="1"/>
    </xf>
    <xf numFmtId="3" fontId="21" fillId="0" borderId="21" xfId="0" applyNumberFormat="1" applyFont="1" applyBorder="1" applyAlignment="1">
      <alignment horizontal="center" vertical="center" wrapText="1"/>
    </xf>
    <xf numFmtId="3" fontId="21" fillId="0" borderId="10" xfId="0" applyNumberFormat="1" applyFont="1" applyBorder="1" applyAlignment="1">
      <alignment horizontal="center" vertical="center" wrapText="1"/>
    </xf>
    <xf numFmtId="0" fontId="22" fillId="0" borderId="10" xfId="0" applyFont="1" applyBorder="1" applyAlignment="1">
      <alignment horizontal="center"/>
    </xf>
    <xf numFmtId="3" fontId="22" fillId="0" borderId="23" xfId="0" applyNumberFormat="1" applyFont="1" applyBorder="1" applyAlignment="1">
      <alignment horizontal="center" vertical="center" wrapText="1"/>
    </xf>
    <xf numFmtId="0" fontId="21" fillId="41" borderId="40" xfId="0" applyFont="1" applyFill="1" applyBorder="1" applyAlignment="1">
      <alignment horizontal="center" vertical="center" wrapText="1"/>
    </xf>
    <xf numFmtId="0" fontId="21" fillId="41" borderId="56" xfId="0" applyFont="1" applyFill="1" applyBorder="1" applyAlignment="1">
      <alignment horizontal="center" vertical="center" wrapText="1"/>
    </xf>
    <xf numFmtId="0" fontId="21" fillId="41" borderId="24" xfId="0" applyFont="1" applyFill="1" applyBorder="1" applyAlignment="1">
      <alignment horizontal="center" vertical="center" wrapText="1"/>
    </xf>
    <xf numFmtId="0" fontId="21" fillId="0" borderId="0" xfId="0" applyFont="1" applyBorder="1" applyAlignment="1">
      <alignment horizontal="left" vertical="center" wrapText="1"/>
    </xf>
    <xf numFmtId="0" fontId="43" fillId="0" borderId="0" xfId="0" applyFont="1" applyBorder="1" applyAlignment="1">
      <alignment horizontal="left" vertical="top"/>
    </xf>
    <xf numFmtId="49" fontId="21" fillId="0" borderId="65" xfId="0" applyNumberFormat="1" applyFont="1" applyBorder="1" applyAlignment="1">
      <alignment horizontal="center" vertical="center" wrapText="1"/>
    </xf>
    <xf numFmtId="49" fontId="21" fillId="0" borderId="66" xfId="0" applyNumberFormat="1" applyFont="1" applyBorder="1" applyAlignment="1">
      <alignment horizontal="center" vertical="center" wrapText="1"/>
    </xf>
    <xf numFmtId="0" fontId="21" fillId="0" borderId="60"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10" xfId="0" applyFont="1" applyBorder="1" applyAlignment="1">
      <alignment horizontal="center" vertical="center" wrapText="1"/>
    </xf>
    <xf numFmtId="0" fontId="19" fillId="0" borderId="0" xfId="0" applyFont="1" applyFill="1" applyBorder="1" applyAlignment="1">
      <alignment horizontal="justify" vertical="center" wrapText="1"/>
    </xf>
    <xf numFmtId="0" fontId="22" fillId="0" borderId="12" xfId="0" applyFont="1" applyBorder="1" applyAlignment="1">
      <alignment horizontal="center" vertical="center" wrapText="1"/>
    </xf>
    <xf numFmtId="0" fontId="22" fillId="0" borderId="12" xfId="0" applyFont="1" applyBorder="1" applyAlignment="1">
      <alignment horizontal="center"/>
    </xf>
    <xf numFmtId="0" fontId="21" fillId="0" borderId="17" xfId="0" applyFont="1" applyBorder="1" applyAlignment="1">
      <alignment horizontal="center" vertical="center" wrapText="1"/>
    </xf>
    <xf numFmtId="3" fontId="21" fillId="0" borderId="23" xfId="0" applyNumberFormat="1" applyFont="1" applyBorder="1" applyAlignment="1">
      <alignment horizontal="center" vertical="center" wrapText="1"/>
    </xf>
    <xf numFmtId="0" fontId="44" fillId="41" borderId="40" xfId="0" applyFont="1" applyFill="1" applyBorder="1" applyAlignment="1">
      <alignment horizontal="center" vertical="center" wrapText="1"/>
    </xf>
    <xf numFmtId="0" fontId="44" fillId="41" borderId="56"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19" fillId="0" borderId="10" xfId="0" applyFont="1" applyFill="1" applyBorder="1" applyAlignment="1">
      <alignment horizontal="left" vertical="top" wrapText="1"/>
    </xf>
    <xf numFmtId="3" fontId="19" fillId="0" borderId="10" xfId="0" applyNumberFormat="1" applyFont="1" applyBorder="1" applyAlignment="1">
      <alignment horizontal="left" vertical="top" wrapText="1"/>
    </xf>
    <xf numFmtId="0" fontId="44" fillId="0" borderId="68" xfId="0" applyFont="1" applyFill="1" applyBorder="1" applyAlignment="1">
      <alignment horizontal="center" vertical="center" wrapText="1"/>
    </xf>
    <xf numFmtId="0" fontId="44" fillId="0" borderId="69" xfId="0" applyFont="1" applyFill="1" applyBorder="1" applyAlignment="1">
      <alignment horizontal="center" vertical="center" wrapText="1"/>
    </xf>
    <xf numFmtId="0" fontId="44" fillId="0" borderId="70"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70" xfId="0" applyFont="1" applyBorder="1" applyAlignment="1">
      <alignment horizontal="center" wrapText="1"/>
    </xf>
    <xf numFmtId="0" fontId="44" fillId="0" borderId="71" xfId="0" applyFont="1" applyBorder="1" applyAlignment="1">
      <alignment horizontal="center" wrapText="1"/>
    </xf>
    <xf numFmtId="0" fontId="22" fillId="0" borderId="0" xfId="0" applyFont="1" applyFill="1" applyBorder="1" applyAlignment="1">
      <alignment horizontal="justify" vertical="center" wrapText="1"/>
    </xf>
    <xf numFmtId="0" fontId="22" fillId="0" borderId="0" xfId="0" applyFont="1" applyFill="1" applyBorder="1" applyAlignment="1">
      <alignment/>
    </xf>
    <xf numFmtId="0" fontId="43" fillId="0" borderId="0" xfId="0" applyFont="1" applyBorder="1" applyAlignment="1">
      <alignment vertical="top"/>
    </xf>
    <xf numFmtId="0" fontId="21" fillId="0" borderId="0" xfId="0" applyFont="1" applyBorder="1" applyAlignment="1">
      <alignment horizontal="left" wrapText="1"/>
    </xf>
    <xf numFmtId="0" fontId="21" fillId="0" borderId="0" xfId="0" applyFont="1" applyBorder="1" applyAlignment="1">
      <alignment horizontal="center" vertical="center"/>
    </xf>
    <xf numFmtId="0" fontId="22" fillId="0" borderId="16" xfId="0" applyFont="1" applyBorder="1" applyAlignment="1">
      <alignment horizontal="center" vertical="center" wrapText="1"/>
    </xf>
    <xf numFmtId="0" fontId="22" fillId="0" borderId="72" xfId="0" applyFont="1" applyBorder="1" applyAlignment="1">
      <alignment horizontal="center" vertical="center"/>
    </xf>
    <xf numFmtId="0" fontId="22" fillId="0" borderId="48" xfId="0" applyFont="1" applyBorder="1" applyAlignment="1">
      <alignment horizontal="center" vertical="center"/>
    </xf>
    <xf numFmtId="0" fontId="21" fillId="0" borderId="73" xfId="0" applyFont="1" applyBorder="1" applyAlignment="1">
      <alignment horizontal="center" vertical="center"/>
    </xf>
    <xf numFmtId="0" fontId="5" fillId="0" borderId="0" xfId="0" applyFont="1" applyBorder="1" applyAlignment="1">
      <alignment horizontal="left" wrapText="1"/>
    </xf>
    <xf numFmtId="0" fontId="0" fillId="0" borderId="40" xfId="0" applyBorder="1" applyAlignment="1">
      <alignment horizontal="center" wrapText="1"/>
    </xf>
    <xf numFmtId="0" fontId="0" fillId="0" borderId="56" xfId="0" applyFont="1" applyBorder="1" applyAlignment="1">
      <alignment horizontal="center"/>
    </xf>
    <xf numFmtId="0" fontId="0" fillId="0" borderId="24" xfId="0" applyFont="1" applyBorder="1" applyAlignment="1">
      <alignment horizontal="center"/>
    </xf>
    <xf numFmtId="0" fontId="0" fillId="0" borderId="40" xfId="0" applyBorder="1" applyAlignment="1">
      <alignment horizontal="center"/>
    </xf>
    <xf numFmtId="0" fontId="0" fillId="0" borderId="0" xfId="0" applyFont="1" applyBorder="1" applyAlignment="1">
      <alignment horizontal="left"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9" fillId="0" borderId="0" xfId="0" applyFont="1" applyBorder="1" applyAlignment="1">
      <alignment horizontal="left" vertical="top"/>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10" xfId="0" applyFont="1" applyBorder="1" applyAlignment="1">
      <alignment horizontal="center" vertical="center"/>
    </xf>
    <xf numFmtId="0" fontId="0" fillId="0" borderId="0" xfId="0" applyFont="1" applyFill="1" applyBorder="1" applyAlignment="1">
      <alignment horizontal="justify"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0" fillId="0" borderId="0" xfId="0" applyFont="1" applyFill="1" applyBorder="1" applyAlignment="1">
      <alignment horizontal="justify" vertical="center"/>
    </xf>
    <xf numFmtId="0" fontId="0" fillId="0" borderId="40" xfId="0" applyBorder="1" applyAlignment="1">
      <alignment horizontal="left" vertical="top" wrapText="1"/>
    </xf>
    <xf numFmtId="0" fontId="0" fillId="0" borderId="56" xfId="0" applyFont="1" applyBorder="1" applyAlignment="1">
      <alignment horizontal="left" vertical="top" wrapText="1"/>
    </xf>
    <xf numFmtId="0" fontId="0" fillId="0" borderId="24" xfId="0" applyFont="1" applyBorder="1" applyAlignment="1">
      <alignment horizontal="left" vertical="top" wrapText="1"/>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1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Border="1" applyAlignment="1">
      <alignment wrapText="1"/>
    </xf>
    <xf numFmtId="0" fontId="7" fillId="0" borderId="0" xfId="0" applyFont="1" applyBorder="1" applyAlignment="1">
      <alignment horizontal="center" vertical="center"/>
    </xf>
    <xf numFmtId="0" fontId="0" fillId="0" borderId="12" xfId="0" applyBorder="1" applyAlignment="1">
      <alignment horizontal="center"/>
    </xf>
    <xf numFmtId="0" fontId="0" fillId="0" borderId="12" xfId="0" applyFont="1" applyBorder="1" applyAlignment="1">
      <alignment horizontal="center"/>
    </xf>
    <xf numFmtId="0" fontId="4" fillId="0" borderId="12" xfId="0" applyFont="1" applyBorder="1" applyAlignment="1">
      <alignment horizontal="center" vertical="top" wrapText="1"/>
    </xf>
    <xf numFmtId="0" fontId="0" fillId="0" borderId="0" xfId="0" applyFont="1" applyAlignment="1">
      <alignment horizontal="justify" vertical="center" wrapText="1"/>
    </xf>
    <xf numFmtId="0" fontId="4" fillId="41" borderId="10"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70" xfId="0" applyFont="1" applyBorder="1" applyAlignment="1">
      <alignment horizontal="center" vertical="center" wrapText="1"/>
    </xf>
    <xf numFmtId="0" fontId="10" fillId="0" borderId="0" xfId="0" applyFont="1" applyFill="1" applyBorder="1" applyAlignment="1">
      <alignment horizontal="justify" vertical="center" wrapText="1"/>
    </xf>
    <xf numFmtId="0" fontId="13" fillId="0" borderId="0" xfId="0" applyFont="1" applyFill="1" applyBorder="1" applyAlignment="1">
      <alignment horizontal="justify" vertical="center"/>
    </xf>
    <xf numFmtId="0" fontId="9" fillId="0" borderId="0" xfId="0" applyFont="1" applyBorder="1" applyAlignment="1">
      <alignment horizontal="left" vertical="top" wrapText="1"/>
    </xf>
    <xf numFmtId="0" fontId="5" fillId="0" borderId="0" xfId="0" applyFont="1" applyBorder="1" applyAlignment="1">
      <alignment horizontal="left" vertical="center" wrapText="1"/>
    </xf>
    <xf numFmtId="0" fontId="7" fillId="0" borderId="73" xfId="0" applyFont="1" applyBorder="1" applyAlignment="1">
      <alignment horizontal="center" vertical="center" wrapText="1"/>
    </xf>
    <xf numFmtId="0" fontId="12" fillId="0" borderId="12" xfId="0" applyFont="1" applyBorder="1" applyAlignment="1">
      <alignment horizontal="center" wrapText="1"/>
    </xf>
    <xf numFmtId="0" fontId="12" fillId="0" borderId="12" xfId="0" applyFont="1" applyBorder="1" applyAlignment="1">
      <alignment horizontal="center"/>
    </xf>
    <xf numFmtId="0" fontId="7" fillId="0" borderId="73" xfId="0" applyFont="1" applyBorder="1" applyAlignment="1">
      <alignment horizontal="center" vertical="center"/>
    </xf>
    <xf numFmtId="0" fontId="0" fillId="0" borderId="48" xfId="0" applyBorder="1" applyAlignment="1">
      <alignment horizontal="center"/>
    </xf>
    <xf numFmtId="0" fontId="0" fillId="0" borderId="48" xfId="0" applyFont="1" applyBorder="1" applyAlignment="1">
      <alignment horizontal="center"/>
    </xf>
    <xf numFmtId="0" fontId="4" fillId="0" borderId="71" xfId="0" applyFont="1" applyBorder="1" applyAlignment="1">
      <alignment horizontal="center" vertical="center" wrapText="1"/>
    </xf>
    <xf numFmtId="0" fontId="0" fillId="0" borderId="0" xfId="0" applyFont="1" applyFill="1" applyAlignment="1">
      <alignment horizontal="justify" wrapText="1"/>
    </xf>
    <xf numFmtId="0" fontId="0" fillId="0" borderId="40" xfId="0" applyFont="1" applyBorder="1" applyAlignment="1">
      <alignment horizontal="center"/>
    </xf>
    <xf numFmtId="0" fontId="0" fillId="0" borderId="56" xfId="0" applyFont="1" applyBorder="1" applyAlignment="1">
      <alignment horizontal="center"/>
    </xf>
    <xf numFmtId="0" fontId="0" fillId="0" borderId="24" xfId="0" applyFont="1" applyBorder="1" applyAlignment="1">
      <alignment horizontal="center"/>
    </xf>
    <xf numFmtId="0" fontId="0" fillId="0" borderId="0" xfId="0" applyFont="1" applyBorder="1" applyAlignment="1">
      <alignment horizontal="left"/>
    </xf>
    <xf numFmtId="0" fontId="8" fillId="0" borderId="0" xfId="0" applyFont="1" applyAlignment="1">
      <alignment horizontal="justify" wrapText="1"/>
    </xf>
    <xf numFmtId="0" fontId="0" fillId="0" borderId="0" xfId="0" applyFont="1" applyAlignment="1">
      <alignment horizontal="justify" wrapText="1"/>
    </xf>
    <xf numFmtId="0" fontId="5" fillId="0" borderId="0" xfId="0" applyNumberFormat="1" applyFont="1" applyAlignment="1">
      <alignment horizontal="left" vertical="center" wrapText="1"/>
    </xf>
    <xf numFmtId="0" fontId="0" fillId="0" borderId="10" xfId="0" applyBorder="1" applyAlignment="1">
      <alignment horizontal="center"/>
    </xf>
    <xf numFmtId="0" fontId="0" fillId="0" borderId="10" xfId="0" applyFont="1" applyBorder="1" applyAlignment="1">
      <alignment horizontal="center"/>
    </xf>
    <xf numFmtId="0" fontId="8" fillId="0" borderId="0" xfId="0" applyNumberFormat="1" applyFont="1" applyAlignment="1">
      <alignment horizontal="justify" wrapText="1"/>
    </xf>
    <xf numFmtId="0" fontId="9" fillId="0" borderId="0" xfId="0" applyNumberFormat="1" applyFont="1" applyAlignment="1">
      <alignment horizontal="justify" wrapText="1"/>
    </xf>
    <xf numFmtId="0" fontId="4" fillId="0" borderId="0" xfId="0" applyNumberFormat="1" applyFont="1" applyAlignment="1">
      <alignment horizontal="justify" vertical="justify" wrapText="1"/>
    </xf>
    <xf numFmtId="0" fontId="8" fillId="0" borderId="0" xfId="0" applyNumberFormat="1" applyFont="1" applyAlignment="1">
      <alignment horizontal="justify" vertical="justify" wrapText="1"/>
    </xf>
    <xf numFmtId="0" fontId="7" fillId="0" borderId="10" xfId="0" applyFont="1" applyFill="1" applyBorder="1" applyAlignment="1">
      <alignment horizontal="center" vertical="center" wrapText="1"/>
    </xf>
    <xf numFmtId="0" fontId="19" fillId="0" borderId="40" xfId="0" applyFont="1" applyBorder="1" applyAlignment="1">
      <alignment horizontal="left"/>
    </xf>
    <xf numFmtId="0" fontId="19" fillId="0" borderId="56" xfId="0" applyFont="1" applyBorder="1" applyAlignment="1">
      <alignment horizontal="left"/>
    </xf>
    <xf numFmtId="0" fontId="19" fillId="0" borderId="24" xfId="0" applyFont="1" applyBorder="1" applyAlignment="1">
      <alignment horizontal="left"/>
    </xf>
    <xf numFmtId="0" fontId="8" fillId="0" borderId="0" xfId="0" applyFont="1" applyFill="1" applyAlignment="1">
      <alignment horizontal="justify" vertical="center" wrapText="1"/>
    </xf>
    <xf numFmtId="0" fontId="0" fillId="0" borderId="0" xfId="0" applyFont="1" applyFill="1" applyAlignment="1">
      <alignment horizontal="justify" vertical="center" wrapText="1"/>
    </xf>
    <xf numFmtId="0" fontId="0" fillId="0" borderId="0" xfId="0" applyBorder="1" applyAlignment="1">
      <alignment wrapText="1"/>
    </xf>
    <xf numFmtId="0" fontId="4" fillId="33" borderId="10" xfId="0" applyFont="1" applyFill="1" applyBorder="1" applyAlignment="1">
      <alignment horizontal="left" wrapText="1"/>
    </xf>
    <xf numFmtId="0" fontId="24" fillId="33" borderId="10"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4" fillId="0" borderId="10" xfId="0" applyFont="1" applyFill="1" applyBorder="1" applyAlignment="1">
      <alignment horizontal="center" vertical="top" wrapText="1"/>
    </xf>
    <xf numFmtId="0" fontId="4" fillId="0" borderId="10" xfId="0" applyFont="1" applyFill="1" applyBorder="1" applyAlignment="1">
      <alignment horizontal="center" vertical="top"/>
    </xf>
    <xf numFmtId="0" fontId="0" fillId="0" borderId="0" xfId="0" applyFont="1" applyBorder="1" applyAlignment="1">
      <alignment horizontal="left" wrapText="1"/>
    </xf>
    <xf numFmtId="0" fontId="7" fillId="0" borderId="0" xfId="0" applyFont="1" applyBorder="1" applyAlignment="1">
      <alignment horizontal="left" vertical="center"/>
    </xf>
    <xf numFmtId="0" fontId="4" fillId="36" borderId="26" xfId="0" applyFont="1" applyFill="1" applyBorder="1" applyAlignment="1">
      <alignment horizontal="center" vertical="center" textRotation="255" wrapText="1" readingOrder="2"/>
    </xf>
    <xf numFmtId="0" fontId="4" fillId="36" borderId="76" xfId="0" applyFont="1" applyFill="1" applyBorder="1" applyAlignment="1">
      <alignment horizontal="center" vertical="center" textRotation="255" wrapText="1" readingOrder="2"/>
    </xf>
    <xf numFmtId="0" fontId="4" fillId="33" borderId="29" xfId="0" applyFont="1" applyFill="1" applyBorder="1" applyAlignment="1">
      <alignment horizontal="center" textRotation="90" wrapText="1" readingOrder="1"/>
    </xf>
    <xf numFmtId="0" fontId="4" fillId="33" borderId="37" xfId="0" applyFont="1" applyFill="1" applyBorder="1" applyAlignment="1">
      <alignment horizontal="center" textRotation="90" wrapText="1" readingOrder="1"/>
    </xf>
    <xf numFmtId="0" fontId="4" fillId="33" borderId="32" xfId="0" applyFont="1" applyFill="1" applyBorder="1" applyAlignment="1">
      <alignment horizontal="center" textRotation="90" wrapText="1" readingOrder="1"/>
    </xf>
    <xf numFmtId="0" fontId="4" fillId="0" borderId="0" xfId="0" applyFont="1" applyAlignment="1">
      <alignment horizontal="left" wrapText="1"/>
    </xf>
    <xf numFmtId="0" fontId="4" fillId="42" borderId="26" xfId="0" applyFont="1" applyFill="1" applyBorder="1" applyAlignment="1">
      <alignment horizontal="center" vertical="center" textRotation="255" wrapText="1" readingOrder="2"/>
    </xf>
    <xf numFmtId="0" fontId="0" fillId="0" borderId="27" xfId="0" applyBorder="1" applyAlignment="1">
      <alignment/>
    </xf>
    <xf numFmtId="0" fontId="0" fillId="0" borderId="76" xfId="0" applyBorder="1" applyAlignment="1">
      <alignment/>
    </xf>
    <xf numFmtId="0" fontId="0" fillId="0" borderId="77" xfId="0" applyBorder="1" applyAlignment="1">
      <alignment/>
    </xf>
    <xf numFmtId="0" fontId="0" fillId="0" borderId="30" xfId="0" applyBorder="1" applyAlignment="1">
      <alignment/>
    </xf>
    <xf numFmtId="0" fontId="0" fillId="0" borderId="31" xfId="0" applyBorder="1" applyAlignment="1">
      <alignment/>
    </xf>
    <xf numFmtId="0" fontId="4" fillId="34" borderId="30" xfId="0" applyFont="1" applyFill="1" applyBorder="1" applyAlignment="1">
      <alignment horizontal="center"/>
    </xf>
    <xf numFmtId="0" fontId="4" fillId="34" borderId="31" xfId="0" applyFont="1" applyFill="1" applyBorder="1" applyAlignment="1">
      <alignment horizontal="center"/>
    </xf>
    <xf numFmtId="0" fontId="4" fillId="35" borderId="30" xfId="0" applyFont="1" applyFill="1" applyBorder="1" applyAlignment="1">
      <alignment horizontal="center"/>
    </xf>
    <xf numFmtId="0" fontId="4" fillId="35" borderId="31" xfId="0" applyFont="1" applyFill="1" applyBorder="1" applyAlignment="1">
      <alignment horizontal="center"/>
    </xf>
    <xf numFmtId="0" fontId="4" fillId="33" borderId="29" xfId="0" applyFont="1" applyFill="1" applyBorder="1" applyAlignment="1">
      <alignment horizontal="center" vertical="center" textRotation="90" wrapText="1" readingOrder="2"/>
    </xf>
    <xf numFmtId="0" fontId="4" fillId="33" borderId="37" xfId="0" applyFont="1" applyFill="1" applyBorder="1" applyAlignment="1">
      <alignment horizontal="center" vertical="center" textRotation="90" wrapText="1" readingOrder="2"/>
    </xf>
    <xf numFmtId="0" fontId="4" fillId="33" borderId="32" xfId="0" applyFont="1" applyFill="1" applyBorder="1" applyAlignment="1">
      <alignment horizontal="center" vertical="center" textRotation="90" wrapText="1" readingOrder="2"/>
    </xf>
    <xf numFmtId="0" fontId="0" fillId="0" borderId="10" xfId="0" applyBorder="1" applyAlignment="1">
      <alignment horizontal="justify" vertical="top" wrapText="1"/>
    </xf>
    <xf numFmtId="0" fontId="0" fillId="0" borderId="40" xfId="0" applyBorder="1" applyAlignment="1">
      <alignment horizontal="justify" vertical="top" wrapText="1"/>
    </xf>
    <xf numFmtId="0" fontId="0" fillId="0" borderId="24" xfId="0" applyBorder="1" applyAlignment="1">
      <alignment horizontal="justify" vertical="top" wrapText="1"/>
    </xf>
    <xf numFmtId="0" fontId="4" fillId="39" borderId="29" xfId="0" applyFont="1" applyFill="1" applyBorder="1" applyAlignment="1">
      <alignment horizontal="center" vertical="center" textRotation="255" wrapText="1" readingOrder="2"/>
    </xf>
    <xf numFmtId="0" fontId="4" fillId="39" borderId="37" xfId="0" applyFont="1" applyFill="1" applyBorder="1" applyAlignment="1">
      <alignment horizontal="center" vertical="center" textRotation="255" wrapText="1" readingOrder="2"/>
    </xf>
    <xf numFmtId="0" fontId="4" fillId="39" borderId="32" xfId="0" applyFont="1" applyFill="1" applyBorder="1" applyAlignment="1">
      <alignment horizontal="center" vertical="center" textRotation="255" wrapText="1" readingOrder="2"/>
    </xf>
    <xf numFmtId="0" fontId="17" fillId="37" borderId="29" xfId="0" applyFont="1" applyFill="1" applyBorder="1" applyAlignment="1">
      <alignment horizontal="center" vertical="center" textRotation="255" wrapText="1"/>
    </xf>
    <xf numFmtId="0" fontId="17" fillId="37" borderId="32" xfId="0" applyFont="1" applyFill="1" applyBorder="1" applyAlignment="1">
      <alignment horizontal="center" vertical="center" textRotation="255" wrapText="1"/>
    </xf>
    <xf numFmtId="0" fontId="4" fillId="0" borderId="0" xfId="52" applyFont="1" applyBorder="1" applyAlignment="1">
      <alignment horizontal="left" vertical="center" wrapText="1"/>
      <protection/>
    </xf>
    <xf numFmtId="0" fontId="4" fillId="33" borderId="10" xfId="53" applyFont="1" applyFill="1" applyBorder="1" applyAlignment="1">
      <alignment horizontal="center" vertical="center" wrapText="1"/>
      <protection/>
    </xf>
    <xf numFmtId="0" fontId="4" fillId="33" borderId="10" xfId="53" applyFont="1" applyFill="1" applyBorder="1" applyAlignment="1">
      <alignment horizontal="center" vertical="center"/>
      <protection/>
    </xf>
    <xf numFmtId="0" fontId="0" fillId="0" borderId="0" xfId="0" applyFont="1" applyFill="1" applyBorder="1" applyAlignment="1">
      <alignment wrapText="1"/>
    </xf>
    <xf numFmtId="0" fontId="0" fillId="0" borderId="0" xfId="0" applyFont="1" applyFill="1" applyBorder="1" applyAlignment="1">
      <alignment horizontal="left" wrapText="1"/>
    </xf>
    <xf numFmtId="0" fontId="4" fillId="0" borderId="0" xfId="52" applyFont="1" applyAlignment="1">
      <alignment horizontal="left" vertical="center" wrapText="1"/>
      <protection/>
    </xf>
    <xf numFmtId="0" fontId="4" fillId="0" borderId="10" xfId="52" applyFont="1" applyFill="1" applyBorder="1" applyAlignment="1">
      <alignment horizontal="left" vertical="center" wrapText="1"/>
      <protection/>
    </xf>
    <xf numFmtId="3" fontId="9" fillId="0" borderId="10" xfId="52" applyNumberFormat="1" applyFont="1" applyBorder="1" applyAlignment="1">
      <alignment horizontal="justify" vertical="center" wrapText="1"/>
      <protection/>
    </xf>
    <xf numFmtId="0" fontId="9" fillId="33" borderId="10" xfId="53" applyFont="1" applyFill="1" applyBorder="1" applyAlignment="1">
      <alignment horizontal="center" vertical="center" wrapText="1"/>
      <protection/>
    </xf>
    <xf numFmtId="0" fontId="4" fillId="38" borderId="10" xfId="52" applyFont="1" applyFill="1" applyBorder="1" applyAlignment="1">
      <alignment horizontal="center" vertical="center" wrapText="1"/>
      <protection/>
    </xf>
    <xf numFmtId="0" fontId="13" fillId="0" borderId="0" xfId="0" applyFont="1" applyAlignment="1">
      <alignment horizontal="left" vertical="center" wrapText="1"/>
    </xf>
    <xf numFmtId="0" fontId="4" fillId="0" borderId="10" xfId="52" applyFont="1" applyBorder="1" applyAlignment="1">
      <alignment horizontal="center" vertical="center" wrapText="1"/>
      <protection/>
    </xf>
    <xf numFmtId="0" fontId="10" fillId="0" borderId="0" xfId="0" applyFont="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10" fillId="0" borderId="0" xfId="0" applyFont="1" applyFill="1" applyAlignment="1">
      <alignment horizontal="left" vertical="center" wrapText="1"/>
    </xf>
    <xf numFmtId="3" fontId="0" fillId="0" borderId="0" xfId="53" applyNumberFormat="1" applyFont="1">
      <alignment/>
      <protection/>
    </xf>
    <xf numFmtId="3" fontId="0" fillId="0" borderId="0" xfId="0" applyNumberFormat="1" applyFont="1" applyAlignment="1">
      <alignment/>
    </xf>
    <xf numFmtId="3" fontId="0" fillId="0" borderId="0" xfId="53" applyNumberFormat="1" applyFont="1" applyAlignment="1">
      <alignment horizontal="justify" vertical="center"/>
      <protection/>
    </xf>
    <xf numFmtId="3" fontId="0" fillId="0" borderId="0" xfId="53" applyNumberFormat="1" applyFont="1" applyAlignment="1">
      <alignment horizontal="left" vertical="center"/>
      <protection/>
    </xf>
    <xf numFmtId="3" fontId="0" fillId="0" borderId="0" xfId="53" applyNumberFormat="1" applyFont="1" applyAlignment="1">
      <alignment horizontal="left" vertical="center" wrapText="1"/>
      <protection/>
    </xf>
    <xf numFmtId="3" fontId="0" fillId="0" borderId="0" xfId="53" applyNumberFormat="1" applyFont="1" applyFill="1" applyAlignment="1">
      <alignment horizontal="left" vertical="center"/>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Efektywnosc_zatrudnieniowa_GWP_Tabela do Sprawozdania" xfId="52"/>
    <cellStyle name="Normalny_załącznik_wskaźniki1708"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10"/>
  <sheetViews>
    <sheetView tabSelected="1" zoomScale="85" zoomScaleNormal="85" zoomScalePageLayoutView="0" workbookViewId="0" topLeftCell="C174">
      <selection activeCell="K226" sqref="K226:M233"/>
    </sheetView>
  </sheetViews>
  <sheetFormatPr defaultColWidth="9.140625" defaultRowHeight="12.75" outlineLevelRow="1"/>
  <cols>
    <col min="1" max="1" width="5.00390625" style="282" customWidth="1"/>
    <col min="2" max="2" width="82.57421875" style="282" customWidth="1"/>
    <col min="3" max="10" width="14.7109375" style="282" customWidth="1"/>
    <col min="11" max="11" width="9.140625" style="281" customWidth="1"/>
    <col min="12" max="12" width="9.140625" style="548" customWidth="1"/>
    <col min="13" max="16384" width="9.140625" style="282" customWidth="1"/>
  </cols>
  <sheetData>
    <row r="1" spans="1:12" s="144" customFormat="1" ht="15">
      <c r="A1" s="375" t="s">
        <v>50</v>
      </c>
      <c r="B1" s="376"/>
      <c r="C1" s="376"/>
      <c r="D1" s="376"/>
      <c r="E1" s="376"/>
      <c r="F1" s="376"/>
      <c r="G1" s="376"/>
      <c r="K1" s="277"/>
      <c r="L1" s="547"/>
    </row>
    <row r="2" spans="4:12" s="144" customFormat="1" ht="12.75">
      <c r="D2" s="70"/>
      <c r="E2" s="278"/>
      <c r="F2" s="278"/>
      <c r="G2" s="71"/>
      <c r="K2" s="277"/>
      <c r="L2" s="547"/>
    </row>
    <row r="3" spans="1:12" s="144" customFormat="1" ht="51.75" customHeight="1">
      <c r="A3" s="377" t="s">
        <v>290</v>
      </c>
      <c r="B3" s="377"/>
      <c r="C3" s="378" t="s">
        <v>407</v>
      </c>
      <c r="D3" s="379"/>
      <c r="E3" s="379"/>
      <c r="F3" s="379"/>
      <c r="G3" s="379"/>
      <c r="H3" s="379"/>
      <c r="I3" s="379"/>
      <c r="J3" s="379"/>
      <c r="K3" s="277"/>
      <c r="L3" s="547"/>
    </row>
    <row r="4" spans="1:12" s="144" customFormat="1" ht="14.25">
      <c r="A4" s="23"/>
      <c r="B4" s="23"/>
      <c r="C4" s="279"/>
      <c r="D4" s="70"/>
      <c r="G4" s="70"/>
      <c r="K4" s="277"/>
      <c r="L4" s="547"/>
    </row>
    <row r="5" spans="1:12" s="144" customFormat="1" ht="14.25">
      <c r="A5" s="380" t="s">
        <v>306</v>
      </c>
      <c r="B5" s="380"/>
      <c r="C5" s="381" t="s">
        <v>408</v>
      </c>
      <c r="D5" s="382"/>
      <c r="E5" s="382"/>
      <c r="F5" s="382"/>
      <c r="G5" s="382"/>
      <c r="H5" s="382"/>
      <c r="I5" s="382"/>
      <c r="J5" s="382"/>
      <c r="K5" s="277"/>
      <c r="L5" s="547"/>
    </row>
    <row r="6" spans="1:12" s="144" customFormat="1" ht="14.25">
      <c r="A6" s="72"/>
      <c r="B6" s="73"/>
      <c r="C6" s="280"/>
      <c r="D6" s="70"/>
      <c r="G6" s="70"/>
      <c r="K6" s="277"/>
      <c r="L6" s="547"/>
    </row>
    <row r="7" spans="1:12" s="144" customFormat="1" ht="14.25">
      <c r="A7" s="380" t="s">
        <v>307</v>
      </c>
      <c r="B7" s="380"/>
      <c r="C7" s="381" t="s">
        <v>427</v>
      </c>
      <c r="D7" s="382"/>
      <c r="E7" s="382"/>
      <c r="F7" s="382"/>
      <c r="G7" s="382"/>
      <c r="H7" s="382"/>
      <c r="I7" s="382"/>
      <c r="J7" s="382"/>
      <c r="K7" s="277"/>
      <c r="L7" s="547"/>
    </row>
    <row r="8" spans="4:12" s="144" customFormat="1" ht="12.75">
      <c r="D8" s="70"/>
      <c r="G8" s="70"/>
      <c r="K8" s="277"/>
      <c r="L8" s="547"/>
    </row>
    <row r="9" spans="1:12" s="144" customFormat="1" ht="12.75" customHeight="1">
      <c r="A9" s="370" t="s">
        <v>316</v>
      </c>
      <c r="B9" s="370"/>
      <c r="C9" s="370"/>
      <c r="D9" s="370"/>
      <c r="E9" s="370"/>
      <c r="F9" s="370"/>
      <c r="G9" s="370"/>
      <c r="H9" s="370"/>
      <c r="I9" s="370"/>
      <c r="J9" s="370"/>
      <c r="K9" s="277"/>
      <c r="L9" s="547"/>
    </row>
    <row r="10" spans="1:12" s="144" customFormat="1" ht="12.75">
      <c r="A10" s="371" t="s">
        <v>317</v>
      </c>
      <c r="B10" s="371"/>
      <c r="C10" s="371"/>
      <c r="D10" s="371"/>
      <c r="E10" s="371"/>
      <c r="F10" s="371"/>
      <c r="G10" s="371"/>
      <c r="H10" s="371"/>
      <c r="I10" s="371"/>
      <c r="J10" s="371"/>
      <c r="K10" s="277"/>
      <c r="L10" s="547"/>
    </row>
    <row r="11" spans="1:12" s="144" customFormat="1" ht="12.75" customHeight="1">
      <c r="A11" s="372" t="s">
        <v>302</v>
      </c>
      <c r="B11" s="372"/>
      <c r="C11" s="372"/>
      <c r="D11" s="372"/>
      <c r="E11" s="372"/>
      <c r="F11" s="372"/>
      <c r="G11" s="372"/>
      <c r="H11" s="372"/>
      <c r="I11" s="372"/>
      <c r="J11" s="372"/>
      <c r="K11" s="277"/>
      <c r="L11" s="547"/>
    </row>
    <row r="12" spans="1:12" s="144" customFormat="1" ht="12.75">
      <c r="A12" s="358"/>
      <c r="B12" s="372"/>
      <c r="C12" s="372"/>
      <c r="D12" s="372"/>
      <c r="E12" s="372"/>
      <c r="F12" s="372"/>
      <c r="G12" s="372"/>
      <c r="H12" s="372"/>
      <c r="I12" s="372"/>
      <c r="J12" s="74"/>
      <c r="K12" s="277"/>
      <c r="L12" s="547"/>
    </row>
    <row r="13" spans="1:10" ht="13.5" customHeight="1">
      <c r="A13" s="373" t="s">
        <v>49</v>
      </c>
      <c r="B13" s="373"/>
      <c r="C13" s="373"/>
      <c r="D13" s="373"/>
      <c r="E13" s="373"/>
      <c r="F13" s="373"/>
      <c r="G13" s="373"/>
      <c r="H13" s="373"/>
      <c r="I13" s="373"/>
      <c r="J13" s="373"/>
    </row>
    <row r="14" spans="1:12" s="284" customFormat="1" ht="39.75" customHeight="1">
      <c r="A14" s="374" t="s">
        <v>147</v>
      </c>
      <c r="B14" s="374"/>
      <c r="C14" s="374"/>
      <c r="D14" s="374"/>
      <c r="E14" s="374"/>
      <c r="F14" s="374"/>
      <c r="G14" s="374"/>
      <c r="H14" s="374"/>
      <c r="I14" s="374"/>
      <c r="J14" s="374"/>
      <c r="K14" s="283"/>
      <c r="L14" s="549"/>
    </row>
    <row r="15" spans="1:12" s="144" customFormat="1" ht="40.5" customHeight="1">
      <c r="A15" s="354" t="s">
        <v>51</v>
      </c>
      <c r="B15" s="354"/>
      <c r="C15" s="354"/>
      <c r="D15" s="354"/>
      <c r="E15" s="354"/>
      <c r="F15" s="354"/>
      <c r="G15" s="354"/>
      <c r="H15" s="354"/>
      <c r="I15" s="354"/>
      <c r="J15" s="354"/>
      <c r="K15" s="277"/>
      <c r="L15" s="547"/>
    </row>
    <row r="16" spans="1:12" s="144" customFormat="1" ht="18" customHeight="1">
      <c r="A16" s="355" t="s">
        <v>301</v>
      </c>
      <c r="B16" s="355"/>
      <c r="C16" s="355"/>
      <c r="D16" s="355"/>
      <c r="E16" s="355"/>
      <c r="F16" s="355"/>
      <c r="G16" s="355"/>
      <c r="H16" s="355"/>
      <c r="I16" s="355"/>
      <c r="J16" s="355"/>
      <c r="K16" s="277"/>
      <c r="L16" s="547"/>
    </row>
    <row r="17" spans="1:12" s="144" customFormat="1" ht="44.25" customHeight="1">
      <c r="A17" s="356" t="s">
        <v>66</v>
      </c>
      <c r="B17" s="357"/>
      <c r="C17" s="357"/>
      <c r="D17" s="357"/>
      <c r="E17" s="357"/>
      <c r="F17" s="357"/>
      <c r="G17" s="357"/>
      <c r="H17" s="357"/>
      <c r="I17" s="357"/>
      <c r="J17" s="357"/>
      <c r="K17" s="277"/>
      <c r="L17" s="547"/>
    </row>
    <row r="18" spans="1:12" s="144" customFormat="1" ht="13.5" thickBot="1">
      <c r="A18" s="358"/>
      <c r="B18" s="358"/>
      <c r="C18" s="358"/>
      <c r="D18" s="358"/>
      <c r="E18" s="358"/>
      <c r="F18" s="358"/>
      <c r="G18" s="358"/>
      <c r="H18" s="358"/>
      <c r="I18" s="358"/>
      <c r="J18" s="74"/>
      <c r="K18" s="277"/>
      <c r="L18" s="547"/>
    </row>
    <row r="19" spans="1:12" s="144" customFormat="1" ht="21.75" customHeight="1">
      <c r="A19" s="359" t="s">
        <v>379</v>
      </c>
      <c r="B19" s="361" t="s">
        <v>311</v>
      </c>
      <c r="C19" s="363" t="s">
        <v>380</v>
      </c>
      <c r="D19" s="365" t="s">
        <v>319</v>
      </c>
      <c r="E19" s="366"/>
      <c r="F19" s="367"/>
      <c r="G19" s="365" t="s">
        <v>320</v>
      </c>
      <c r="H19" s="366"/>
      <c r="I19" s="367"/>
      <c r="J19" s="368" t="s">
        <v>381</v>
      </c>
      <c r="K19" s="277"/>
      <c r="L19" s="547"/>
    </row>
    <row r="20" spans="1:12" s="144" customFormat="1" ht="24" customHeight="1">
      <c r="A20" s="360"/>
      <c r="B20" s="362"/>
      <c r="C20" s="364"/>
      <c r="D20" s="150" t="s">
        <v>312</v>
      </c>
      <c r="E20" s="150" t="s">
        <v>313</v>
      </c>
      <c r="F20" s="150" t="s">
        <v>308</v>
      </c>
      <c r="G20" s="150" t="s">
        <v>312</v>
      </c>
      <c r="H20" s="150" t="s">
        <v>313</v>
      </c>
      <c r="I20" s="150" t="s">
        <v>308</v>
      </c>
      <c r="J20" s="369"/>
      <c r="K20" s="277"/>
      <c r="L20" s="547"/>
    </row>
    <row r="21" spans="1:12" s="144" customFormat="1" ht="16.5" thickBot="1">
      <c r="A21" s="151">
        <v>1</v>
      </c>
      <c r="B21" s="152">
        <v>2</v>
      </c>
      <c r="C21" s="152">
        <v>3</v>
      </c>
      <c r="D21" s="153">
        <v>4</v>
      </c>
      <c r="E21" s="153">
        <v>5</v>
      </c>
      <c r="F21" s="153">
        <v>6</v>
      </c>
      <c r="G21" s="153">
        <v>7</v>
      </c>
      <c r="H21" s="153">
        <v>8</v>
      </c>
      <c r="I21" s="153">
        <v>9</v>
      </c>
      <c r="J21" s="154" t="s">
        <v>382</v>
      </c>
      <c r="K21" s="277"/>
      <c r="L21" s="547"/>
    </row>
    <row r="22" spans="1:12" s="144" customFormat="1" ht="24.75" customHeight="1">
      <c r="A22" s="353" t="s">
        <v>334</v>
      </c>
      <c r="B22" s="353"/>
      <c r="C22" s="353"/>
      <c r="D22" s="353"/>
      <c r="E22" s="353"/>
      <c r="F22" s="353"/>
      <c r="G22" s="353"/>
      <c r="H22" s="353"/>
      <c r="I22" s="353"/>
      <c r="J22" s="353"/>
      <c r="K22" s="277"/>
      <c r="L22" s="547"/>
    </row>
    <row r="23" spans="1:12" s="144" customFormat="1" ht="24.75" customHeight="1">
      <c r="A23" s="330" t="s">
        <v>232</v>
      </c>
      <c r="B23" s="331"/>
      <c r="C23" s="331"/>
      <c r="D23" s="331"/>
      <c r="E23" s="331"/>
      <c r="F23" s="331"/>
      <c r="G23" s="331"/>
      <c r="H23" s="331"/>
      <c r="I23" s="331"/>
      <c r="J23" s="332"/>
      <c r="K23" s="277"/>
      <c r="L23" s="547"/>
    </row>
    <row r="24" spans="1:12" s="145" customFormat="1" ht="26.25" customHeight="1" hidden="1" outlineLevel="1">
      <c r="A24" s="270">
        <v>1</v>
      </c>
      <c r="B24" s="155" t="s">
        <v>335</v>
      </c>
      <c r="C24" s="156"/>
      <c r="D24" s="157"/>
      <c r="E24" s="158"/>
      <c r="F24" s="158"/>
      <c r="G24" s="157"/>
      <c r="H24" s="158"/>
      <c r="I24" s="158"/>
      <c r="J24" s="159"/>
      <c r="K24" s="269"/>
      <c r="L24" s="550"/>
    </row>
    <row r="25" spans="1:12" s="286" customFormat="1" ht="26.25" customHeight="1" hidden="1" outlineLevel="1">
      <c r="A25" s="270">
        <v>2</v>
      </c>
      <c r="B25" s="155" t="s">
        <v>383</v>
      </c>
      <c r="C25" s="160"/>
      <c r="D25" s="160" t="s">
        <v>291</v>
      </c>
      <c r="E25" s="160" t="s">
        <v>291</v>
      </c>
      <c r="F25" s="158"/>
      <c r="G25" s="160" t="s">
        <v>291</v>
      </c>
      <c r="H25" s="160" t="s">
        <v>291</v>
      </c>
      <c r="I25" s="158"/>
      <c r="J25" s="159"/>
      <c r="K25" s="285"/>
      <c r="L25" s="551"/>
    </row>
    <row r="26" spans="1:12" s="145" customFormat="1" ht="19.5" customHeight="1" hidden="1" outlineLevel="1">
      <c r="A26" s="270" t="s">
        <v>300</v>
      </c>
      <c r="B26" s="155" t="s">
        <v>297</v>
      </c>
      <c r="C26" s="161"/>
      <c r="D26" s="157"/>
      <c r="E26" s="158"/>
      <c r="F26" s="158"/>
      <c r="G26" s="157"/>
      <c r="H26" s="158"/>
      <c r="I26" s="158"/>
      <c r="J26" s="158"/>
      <c r="K26" s="269"/>
      <c r="L26" s="550"/>
    </row>
    <row r="27" spans="1:12" s="144" customFormat="1" ht="24.75" customHeight="1" collapsed="1">
      <c r="A27" s="330" t="s">
        <v>245</v>
      </c>
      <c r="B27" s="331"/>
      <c r="C27" s="331"/>
      <c r="D27" s="331"/>
      <c r="E27" s="331"/>
      <c r="F27" s="331"/>
      <c r="G27" s="331"/>
      <c r="H27" s="331"/>
      <c r="I27" s="331"/>
      <c r="J27" s="332"/>
      <c r="K27" s="277"/>
      <c r="L27" s="547"/>
    </row>
    <row r="28" spans="1:12" s="286" customFormat="1" ht="27" customHeight="1" hidden="1" outlineLevel="1">
      <c r="A28" s="270">
        <v>1</v>
      </c>
      <c r="B28" s="155" t="s">
        <v>356</v>
      </c>
      <c r="C28" s="156"/>
      <c r="D28" s="160" t="s">
        <v>291</v>
      </c>
      <c r="E28" s="160" t="s">
        <v>291</v>
      </c>
      <c r="F28" s="156"/>
      <c r="G28" s="160" t="s">
        <v>291</v>
      </c>
      <c r="H28" s="160" t="s">
        <v>291</v>
      </c>
      <c r="I28" s="156"/>
      <c r="J28" s="160"/>
      <c r="K28" s="285"/>
      <c r="L28" s="551"/>
    </row>
    <row r="29" spans="1:12" s="145" customFormat="1" ht="26.25" customHeight="1" hidden="1" outlineLevel="1">
      <c r="A29" s="270">
        <v>2</v>
      </c>
      <c r="B29" s="155" t="s">
        <v>336</v>
      </c>
      <c r="C29" s="156"/>
      <c r="D29" s="156"/>
      <c r="E29" s="156"/>
      <c r="F29" s="156"/>
      <c r="G29" s="156"/>
      <c r="H29" s="156"/>
      <c r="I29" s="156"/>
      <c r="J29" s="162"/>
      <c r="K29" s="269"/>
      <c r="L29" s="550"/>
    </row>
    <row r="30" spans="1:12" s="145" customFormat="1" ht="19.5" customHeight="1" hidden="1" outlineLevel="1">
      <c r="A30" s="270" t="s">
        <v>300</v>
      </c>
      <c r="B30" s="155" t="s">
        <v>297</v>
      </c>
      <c r="C30" s="161"/>
      <c r="D30" s="157"/>
      <c r="E30" s="158"/>
      <c r="F30" s="158"/>
      <c r="G30" s="157"/>
      <c r="H30" s="158"/>
      <c r="I30" s="158"/>
      <c r="J30" s="158"/>
      <c r="K30" s="269"/>
      <c r="L30" s="550"/>
    </row>
    <row r="31" spans="1:12" s="144" customFormat="1" ht="24.75" customHeight="1" collapsed="1">
      <c r="A31" s="330" t="s">
        <v>246</v>
      </c>
      <c r="B31" s="331"/>
      <c r="C31" s="331"/>
      <c r="D31" s="331"/>
      <c r="E31" s="331"/>
      <c r="F31" s="331"/>
      <c r="G31" s="331"/>
      <c r="H31" s="331"/>
      <c r="I31" s="331"/>
      <c r="J31" s="332"/>
      <c r="K31" s="277"/>
      <c r="L31" s="547"/>
    </row>
    <row r="32" spans="1:12" s="145" customFormat="1" ht="19.5" customHeight="1" hidden="1" outlineLevel="1">
      <c r="A32" s="352">
        <v>1</v>
      </c>
      <c r="B32" s="163" t="s">
        <v>348</v>
      </c>
      <c r="C32" s="156"/>
      <c r="D32" s="157"/>
      <c r="E32" s="158"/>
      <c r="F32" s="158"/>
      <c r="G32" s="157"/>
      <c r="H32" s="158"/>
      <c r="I32" s="158"/>
      <c r="J32" s="158"/>
      <c r="K32" s="269"/>
      <c r="L32" s="550"/>
    </row>
    <row r="33" spans="1:12" s="145" customFormat="1" ht="19.5" customHeight="1" hidden="1" outlineLevel="1">
      <c r="A33" s="352"/>
      <c r="B33" s="164" t="s">
        <v>385</v>
      </c>
      <c r="C33" s="161"/>
      <c r="D33" s="157"/>
      <c r="E33" s="158"/>
      <c r="F33" s="158"/>
      <c r="G33" s="157"/>
      <c r="H33" s="158"/>
      <c r="I33" s="158"/>
      <c r="J33" s="158"/>
      <c r="K33" s="269"/>
      <c r="L33" s="550"/>
    </row>
    <row r="34" spans="1:12" s="145" customFormat="1" ht="19.5" customHeight="1" hidden="1" outlineLevel="1">
      <c r="A34" s="352"/>
      <c r="B34" s="164" t="s">
        <v>386</v>
      </c>
      <c r="C34" s="161"/>
      <c r="D34" s="157"/>
      <c r="E34" s="158"/>
      <c r="F34" s="158"/>
      <c r="G34" s="157"/>
      <c r="H34" s="158"/>
      <c r="I34" s="158"/>
      <c r="J34" s="158"/>
      <c r="K34" s="269"/>
      <c r="L34" s="550"/>
    </row>
    <row r="35" spans="1:12" s="145" customFormat="1" ht="25.5" customHeight="1" hidden="1" outlineLevel="1">
      <c r="A35" s="352"/>
      <c r="B35" s="164" t="s">
        <v>151</v>
      </c>
      <c r="C35" s="161"/>
      <c r="D35" s="157"/>
      <c r="E35" s="158"/>
      <c r="F35" s="158"/>
      <c r="G35" s="157"/>
      <c r="H35" s="158"/>
      <c r="I35" s="158"/>
      <c r="J35" s="158"/>
      <c r="K35" s="269"/>
      <c r="L35" s="550"/>
    </row>
    <row r="36" spans="1:12" s="145" customFormat="1" ht="19.5" customHeight="1" hidden="1" outlineLevel="1">
      <c r="A36" s="352"/>
      <c r="B36" s="164" t="s">
        <v>387</v>
      </c>
      <c r="C36" s="161"/>
      <c r="D36" s="157"/>
      <c r="E36" s="158"/>
      <c r="F36" s="158"/>
      <c r="G36" s="157"/>
      <c r="H36" s="158"/>
      <c r="I36" s="158"/>
      <c r="J36" s="158"/>
      <c r="K36" s="269"/>
      <c r="L36" s="550"/>
    </row>
    <row r="37" spans="1:12" s="145" customFormat="1" ht="19.5" customHeight="1" hidden="1" outlineLevel="1">
      <c r="A37" s="352"/>
      <c r="B37" s="164" t="s">
        <v>388</v>
      </c>
      <c r="C37" s="161"/>
      <c r="D37" s="157"/>
      <c r="E37" s="158"/>
      <c r="F37" s="158"/>
      <c r="G37" s="157"/>
      <c r="H37" s="158"/>
      <c r="I37" s="158"/>
      <c r="J37" s="158"/>
      <c r="K37" s="269"/>
      <c r="L37" s="550"/>
    </row>
    <row r="38" spans="1:12" s="145" customFormat="1" ht="19.5" customHeight="1" hidden="1" outlineLevel="1">
      <c r="A38" s="270" t="s">
        <v>300</v>
      </c>
      <c r="B38" s="155" t="s">
        <v>297</v>
      </c>
      <c r="C38" s="161"/>
      <c r="D38" s="157"/>
      <c r="E38" s="158"/>
      <c r="F38" s="158"/>
      <c r="G38" s="157"/>
      <c r="H38" s="158"/>
      <c r="I38" s="158"/>
      <c r="J38" s="158"/>
      <c r="K38" s="269"/>
      <c r="L38" s="550"/>
    </row>
    <row r="39" spans="1:12" s="145" customFormat="1" ht="19.5" customHeight="1" collapsed="1">
      <c r="A39" s="330" t="s">
        <v>152</v>
      </c>
      <c r="B39" s="331"/>
      <c r="C39" s="331"/>
      <c r="D39" s="331"/>
      <c r="E39" s="331"/>
      <c r="F39" s="331"/>
      <c r="G39" s="331"/>
      <c r="H39" s="331"/>
      <c r="I39" s="331"/>
      <c r="J39" s="332"/>
      <c r="K39" s="269"/>
      <c r="L39" s="550"/>
    </row>
    <row r="40" spans="1:12" s="145" customFormat="1" ht="26.25" customHeight="1" hidden="1" outlineLevel="1">
      <c r="A40" s="270">
        <v>1</v>
      </c>
      <c r="B40" s="155" t="s">
        <v>154</v>
      </c>
      <c r="C40" s="161"/>
      <c r="D40" s="160" t="s">
        <v>291</v>
      </c>
      <c r="E40" s="160" t="s">
        <v>291</v>
      </c>
      <c r="F40" s="156"/>
      <c r="G40" s="160" t="s">
        <v>291</v>
      </c>
      <c r="H40" s="160" t="s">
        <v>291</v>
      </c>
      <c r="I40" s="158"/>
      <c r="J40" s="158"/>
      <c r="K40" s="269"/>
      <c r="L40" s="550"/>
    </row>
    <row r="41" spans="1:12" s="145" customFormat="1" ht="26.25" customHeight="1" hidden="1" outlineLevel="1">
      <c r="A41" s="165">
        <v>2</v>
      </c>
      <c r="B41" s="163" t="s">
        <v>15</v>
      </c>
      <c r="C41" s="190" t="s">
        <v>231</v>
      </c>
      <c r="D41" s="190" t="s">
        <v>291</v>
      </c>
      <c r="E41" s="190" t="s">
        <v>291</v>
      </c>
      <c r="F41" s="166"/>
      <c r="G41" s="190" t="s">
        <v>291</v>
      </c>
      <c r="H41" s="190" t="s">
        <v>291</v>
      </c>
      <c r="I41" s="166"/>
      <c r="J41" s="190" t="s">
        <v>291</v>
      </c>
      <c r="K41" s="269"/>
      <c r="L41" s="550"/>
    </row>
    <row r="42" spans="1:12" s="145" customFormat="1" ht="26.25" customHeight="1" hidden="1" outlineLevel="1">
      <c r="A42" s="270" t="s">
        <v>300</v>
      </c>
      <c r="B42" s="155" t="s">
        <v>297</v>
      </c>
      <c r="C42" s="161"/>
      <c r="D42" s="160"/>
      <c r="E42" s="160"/>
      <c r="F42" s="156"/>
      <c r="G42" s="160"/>
      <c r="H42" s="160"/>
      <c r="I42" s="158"/>
      <c r="J42" s="158"/>
      <c r="K42" s="269"/>
      <c r="L42" s="550"/>
    </row>
    <row r="43" spans="1:12" s="145" customFormat="1" ht="19.5" customHeight="1" collapsed="1">
      <c r="A43" s="330" t="s">
        <v>153</v>
      </c>
      <c r="B43" s="331"/>
      <c r="C43" s="331"/>
      <c r="D43" s="331"/>
      <c r="E43" s="331"/>
      <c r="F43" s="331"/>
      <c r="G43" s="331"/>
      <c r="H43" s="331"/>
      <c r="I43" s="331"/>
      <c r="J43" s="332"/>
      <c r="K43" s="269"/>
      <c r="L43" s="550"/>
    </row>
    <row r="44" spans="1:12" s="145" customFormat="1" ht="47.25" hidden="1" outlineLevel="1">
      <c r="A44" s="270">
        <v>1</v>
      </c>
      <c r="B44" s="155" t="s">
        <v>155</v>
      </c>
      <c r="C44" s="161"/>
      <c r="D44" s="157"/>
      <c r="E44" s="158"/>
      <c r="F44" s="158"/>
      <c r="G44" s="157"/>
      <c r="H44" s="158"/>
      <c r="I44" s="158"/>
      <c r="J44" s="158"/>
      <c r="K44" s="269"/>
      <c r="L44" s="550"/>
    </row>
    <row r="45" spans="1:12" s="145" customFormat="1" ht="19.5" customHeight="1" hidden="1" outlineLevel="1">
      <c r="A45" s="270" t="s">
        <v>300</v>
      </c>
      <c r="B45" s="155" t="s">
        <v>297</v>
      </c>
      <c r="C45" s="161"/>
      <c r="D45" s="157"/>
      <c r="E45" s="158"/>
      <c r="F45" s="158"/>
      <c r="G45" s="157"/>
      <c r="H45" s="158"/>
      <c r="I45" s="158"/>
      <c r="J45" s="158"/>
      <c r="K45" s="269"/>
      <c r="L45" s="550"/>
    </row>
    <row r="46" spans="1:12" s="145" customFormat="1" ht="24.75" customHeight="1" collapsed="1">
      <c r="A46" s="330" t="s">
        <v>337</v>
      </c>
      <c r="B46" s="331"/>
      <c r="C46" s="331"/>
      <c r="D46" s="331"/>
      <c r="E46" s="331"/>
      <c r="F46" s="331"/>
      <c r="G46" s="331"/>
      <c r="H46" s="331"/>
      <c r="I46" s="331"/>
      <c r="J46" s="332"/>
      <c r="K46" s="269"/>
      <c r="L46" s="550"/>
    </row>
    <row r="47" spans="1:12" s="144" customFormat="1" ht="24.75" customHeight="1">
      <c r="A47" s="330" t="s">
        <v>247</v>
      </c>
      <c r="B47" s="331"/>
      <c r="C47" s="331"/>
      <c r="D47" s="331"/>
      <c r="E47" s="331"/>
      <c r="F47" s="331"/>
      <c r="G47" s="331"/>
      <c r="H47" s="331"/>
      <c r="I47" s="331"/>
      <c r="J47" s="332"/>
      <c r="K47" s="277"/>
      <c r="L47" s="547"/>
    </row>
    <row r="48" spans="1:12" s="286" customFormat="1" ht="19.5" customHeight="1" hidden="1" outlineLevel="1">
      <c r="A48" s="270">
        <v>1</v>
      </c>
      <c r="B48" s="155" t="s">
        <v>357</v>
      </c>
      <c r="C48" s="156"/>
      <c r="D48" s="160" t="s">
        <v>291</v>
      </c>
      <c r="E48" s="160" t="s">
        <v>291</v>
      </c>
      <c r="F48" s="156"/>
      <c r="G48" s="160" t="s">
        <v>291</v>
      </c>
      <c r="H48" s="160" t="s">
        <v>291</v>
      </c>
      <c r="I48" s="156"/>
      <c r="J48" s="160"/>
      <c r="K48" s="285"/>
      <c r="L48" s="551"/>
    </row>
    <row r="49" spans="1:12" s="145" customFormat="1" ht="27" customHeight="1" hidden="1" outlineLevel="1">
      <c r="A49" s="352">
        <v>2</v>
      </c>
      <c r="B49" s="155" t="s">
        <v>338</v>
      </c>
      <c r="C49" s="156"/>
      <c r="D49" s="156"/>
      <c r="E49" s="156"/>
      <c r="F49" s="156"/>
      <c r="G49" s="156"/>
      <c r="H49" s="156"/>
      <c r="I49" s="156"/>
      <c r="J49" s="162"/>
      <c r="K49" s="269"/>
      <c r="L49" s="550"/>
    </row>
    <row r="50" spans="1:12" s="145" customFormat="1" ht="19.5" customHeight="1" hidden="1" outlineLevel="1">
      <c r="A50" s="352"/>
      <c r="B50" s="167" t="s">
        <v>389</v>
      </c>
      <c r="C50" s="168"/>
      <c r="D50" s="168"/>
      <c r="E50" s="168"/>
      <c r="F50" s="156"/>
      <c r="G50" s="168"/>
      <c r="H50" s="168"/>
      <c r="I50" s="156"/>
      <c r="J50" s="162"/>
      <c r="K50" s="269"/>
      <c r="L50" s="550"/>
    </row>
    <row r="51" spans="1:12" s="145" customFormat="1" ht="30.75" customHeight="1" hidden="1" outlineLevel="1">
      <c r="A51" s="270">
        <v>3</v>
      </c>
      <c r="B51" s="155" t="s">
        <v>339</v>
      </c>
      <c r="C51" s="156"/>
      <c r="D51" s="156"/>
      <c r="E51" s="156"/>
      <c r="F51" s="156"/>
      <c r="G51" s="156"/>
      <c r="H51" s="156"/>
      <c r="I51" s="156"/>
      <c r="J51" s="162"/>
      <c r="K51" s="269"/>
      <c r="L51" s="550"/>
    </row>
    <row r="52" spans="1:12" s="145" customFormat="1" ht="30" customHeight="1" hidden="1" outlineLevel="1">
      <c r="A52" s="270">
        <v>4</v>
      </c>
      <c r="B52" s="155" t="s">
        <v>166</v>
      </c>
      <c r="C52" s="156"/>
      <c r="D52" s="156"/>
      <c r="E52" s="156"/>
      <c r="F52" s="156"/>
      <c r="G52" s="156"/>
      <c r="H52" s="156"/>
      <c r="I52" s="156"/>
      <c r="J52" s="162"/>
      <c r="K52" s="269"/>
      <c r="L52" s="550"/>
    </row>
    <row r="53" spans="1:12" s="286" customFormat="1" ht="29.25" customHeight="1" hidden="1" outlineLevel="1">
      <c r="A53" s="270">
        <v>5</v>
      </c>
      <c r="B53" s="155" t="s">
        <v>360</v>
      </c>
      <c r="C53" s="160" t="s">
        <v>231</v>
      </c>
      <c r="D53" s="160" t="s">
        <v>291</v>
      </c>
      <c r="E53" s="160" t="s">
        <v>291</v>
      </c>
      <c r="F53" s="156"/>
      <c r="G53" s="160" t="s">
        <v>291</v>
      </c>
      <c r="H53" s="160" t="s">
        <v>291</v>
      </c>
      <c r="I53" s="156"/>
      <c r="J53" s="160" t="s">
        <v>291</v>
      </c>
      <c r="K53" s="285"/>
      <c r="L53" s="551"/>
    </row>
    <row r="54" spans="1:12" s="286" customFormat="1" ht="27.75" customHeight="1" hidden="1" outlineLevel="1">
      <c r="A54" s="270">
        <v>6</v>
      </c>
      <c r="B54" s="155" t="s">
        <v>359</v>
      </c>
      <c r="C54" s="160" t="s">
        <v>231</v>
      </c>
      <c r="D54" s="160" t="s">
        <v>291</v>
      </c>
      <c r="E54" s="160" t="s">
        <v>291</v>
      </c>
      <c r="F54" s="156"/>
      <c r="G54" s="160" t="s">
        <v>291</v>
      </c>
      <c r="H54" s="160" t="s">
        <v>291</v>
      </c>
      <c r="I54" s="156"/>
      <c r="J54" s="160" t="s">
        <v>291</v>
      </c>
      <c r="K54" s="285"/>
      <c r="L54" s="551"/>
    </row>
    <row r="55" spans="1:12" s="145" customFormat="1" ht="19.5" customHeight="1" hidden="1" outlineLevel="1">
      <c r="A55" s="270" t="s">
        <v>300</v>
      </c>
      <c r="B55" s="155" t="s">
        <v>297</v>
      </c>
      <c r="C55" s="161"/>
      <c r="D55" s="157"/>
      <c r="E55" s="158"/>
      <c r="F55" s="158"/>
      <c r="G55" s="157"/>
      <c r="H55" s="158"/>
      <c r="I55" s="158"/>
      <c r="J55" s="158"/>
      <c r="K55" s="269"/>
      <c r="L55" s="550"/>
    </row>
    <row r="56" spans="1:12" s="144" customFormat="1" ht="24.75" customHeight="1" collapsed="1">
      <c r="A56" s="330" t="s">
        <v>248</v>
      </c>
      <c r="B56" s="331"/>
      <c r="C56" s="331"/>
      <c r="D56" s="331"/>
      <c r="E56" s="331"/>
      <c r="F56" s="331"/>
      <c r="G56" s="331"/>
      <c r="H56" s="331"/>
      <c r="I56" s="331"/>
      <c r="J56" s="332"/>
      <c r="K56" s="277"/>
      <c r="L56" s="547"/>
    </row>
    <row r="57" spans="1:12" s="145" customFormat="1" ht="41.25" customHeight="1" hidden="1" outlineLevel="1">
      <c r="A57" s="270">
        <v>1</v>
      </c>
      <c r="B57" s="155" t="s">
        <v>46</v>
      </c>
      <c r="C57" s="155"/>
      <c r="D57" s="169"/>
      <c r="E57" s="170"/>
      <c r="F57" s="170"/>
      <c r="G57" s="169"/>
      <c r="H57" s="170"/>
      <c r="I57" s="170"/>
      <c r="J57" s="170"/>
      <c r="K57" s="269"/>
      <c r="L57" s="550"/>
    </row>
    <row r="58" spans="1:12" s="145" customFormat="1" ht="41.25" customHeight="1" hidden="1" outlineLevel="1">
      <c r="A58" s="270">
        <v>2</v>
      </c>
      <c r="B58" s="155" t="s">
        <v>409</v>
      </c>
      <c r="C58" s="155"/>
      <c r="D58" s="169"/>
      <c r="E58" s="170"/>
      <c r="F58" s="170"/>
      <c r="G58" s="169"/>
      <c r="H58" s="170"/>
      <c r="I58" s="170"/>
      <c r="J58" s="170"/>
      <c r="K58" s="269"/>
      <c r="L58" s="550"/>
    </row>
    <row r="59" spans="1:12" s="145" customFormat="1" ht="41.25" customHeight="1" hidden="1" outlineLevel="1">
      <c r="A59" s="270">
        <v>3</v>
      </c>
      <c r="B59" s="163" t="s">
        <v>292</v>
      </c>
      <c r="C59" s="270"/>
      <c r="D59" s="160" t="s">
        <v>291</v>
      </c>
      <c r="E59" s="160" t="s">
        <v>291</v>
      </c>
      <c r="F59" s="156"/>
      <c r="G59" s="160" t="s">
        <v>291</v>
      </c>
      <c r="H59" s="160" t="s">
        <v>291</v>
      </c>
      <c r="I59" s="156"/>
      <c r="J59" s="160"/>
      <c r="K59" s="269"/>
      <c r="L59" s="550"/>
    </row>
    <row r="60" spans="1:12" s="145" customFormat="1" ht="19.5" customHeight="1" hidden="1" outlineLevel="1">
      <c r="A60" s="270" t="s">
        <v>300</v>
      </c>
      <c r="B60" s="155" t="s">
        <v>297</v>
      </c>
      <c r="C60" s="161"/>
      <c r="D60" s="157"/>
      <c r="E60" s="158"/>
      <c r="F60" s="158"/>
      <c r="G60" s="157"/>
      <c r="H60" s="158"/>
      <c r="I60" s="158"/>
      <c r="J60" s="158"/>
      <c r="K60" s="269"/>
      <c r="L60" s="550"/>
    </row>
    <row r="61" spans="1:12" s="144" customFormat="1" ht="24.75" customHeight="1" collapsed="1">
      <c r="A61" s="330" t="s">
        <v>249</v>
      </c>
      <c r="B61" s="331"/>
      <c r="C61" s="331"/>
      <c r="D61" s="331"/>
      <c r="E61" s="331"/>
      <c r="F61" s="331"/>
      <c r="G61" s="331"/>
      <c r="H61" s="331"/>
      <c r="I61" s="331"/>
      <c r="J61" s="332"/>
      <c r="K61" s="277"/>
      <c r="L61" s="547"/>
    </row>
    <row r="62" spans="1:12" s="145" customFormat="1" ht="30" customHeight="1" hidden="1" outlineLevel="1">
      <c r="A62" s="270">
        <v>1</v>
      </c>
      <c r="B62" s="163" t="s">
        <v>196</v>
      </c>
      <c r="C62" s="156"/>
      <c r="D62" s="162" t="s">
        <v>291</v>
      </c>
      <c r="E62" s="162" t="s">
        <v>291</v>
      </c>
      <c r="F62" s="158"/>
      <c r="G62" s="162" t="s">
        <v>291</v>
      </c>
      <c r="H62" s="162" t="s">
        <v>291</v>
      </c>
      <c r="I62" s="158"/>
      <c r="J62" s="158"/>
      <c r="K62" s="269"/>
      <c r="L62" s="550"/>
    </row>
    <row r="63" spans="1:12" s="145" customFormat="1" ht="30" customHeight="1" hidden="1" outlineLevel="1">
      <c r="A63" s="270">
        <v>2</v>
      </c>
      <c r="B63" s="155" t="s">
        <v>361</v>
      </c>
      <c r="C63" s="160" t="s">
        <v>231</v>
      </c>
      <c r="D63" s="162" t="s">
        <v>291</v>
      </c>
      <c r="E63" s="162" t="s">
        <v>291</v>
      </c>
      <c r="F63" s="158"/>
      <c r="G63" s="162" t="s">
        <v>291</v>
      </c>
      <c r="H63" s="162" t="s">
        <v>291</v>
      </c>
      <c r="I63" s="158"/>
      <c r="J63" s="162" t="s">
        <v>291</v>
      </c>
      <c r="K63" s="269"/>
      <c r="L63" s="550"/>
    </row>
    <row r="64" spans="1:12" s="145" customFormat="1" ht="30" customHeight="1" hidden="1" outlineLevel="1">
      <c r="A64" s="270">
        <v>3</v>
      </c>
      <c r="B64" s="163" t="s">
        <v>197</v>
      </c>
      <c r="C64" s="156"/>
      <c r="D64" s="156"/>
      <c r="E64" s="156"/>
      <c r="F64" s="156"/>
      <c r="G64" s="156"/>
      <c r="H64" s="156"/>
      <c r="I64" s="156"/>
      <c r="J64" s="156"/>
      <c r="K64" s="269"/>
      <c r="L64" s="550"/>
    </row>
    <row r="65" spans="1:12" s="145" customFormat="1" ht="30" customHeight="1" hidden="1" outlineLevel="1">
      <c r="A65" s="352">
        <v>4</v>
      </c>
      <c r="B65" s="163" t="s">
        <v>198</v>
      </c>
      <c r="C65" s="156"/>
      <c r="D65" s="156"/>
      <c r="E65" s="156"/>
      <c r="F65" s="156"/>
      <c r="G65" s="156"/>
      <c r="H65" s="156"/>
      <c r="I65" s="156"/>
      <c r="J65" s="156"/>
      <c r="K65" s="269"/>
      <c r="L65" s="550"/>
    </row>
    <row r="66" spans="1:12" s="145" customFormat="1" ht="19.5" customHeight="1" hidden="1" outlineLevel="1">
      <c r="A66" s="352"/>
      <c r="B66" s="167" t="s">
        <v>390</v>
      </c>
      <c r="C66" s="156"/>
      <c r="D66" s="156"/>
      <c r="E66" s="156"/>
      <c r="F66" s="156"/>
      <c r="G66" s="156"/>
      <c r="H66" s="156"/>
      <c r="I66" s="156"/>
      <c r="J66" s="156"/>
      <c r="K66" s="269"/>
      <c r="L66" s="550"/>
    </row>
    <row r="67" spans="1:12" s="145" customFormat="1" ht="19.5" customHeight="1" hidden="1" outlineLevel="1">
      <c r="A67" s="352"/>
      <c r="B67" s="167" t="s">
        <v>391</v>
      </c>
      <c r="C67" s="156"/>
      <c r="D67" s="156"/>
      <c r="E67" s="156"/>
      <c r="F67" s="156"/>
      <c r="G67" s="156"/>
      <c r="H67" s="156"/>
      <c r="I67" s="156"/>
      <c r="J67" s="156"/>
      <c r="K67" s="269"/>
      <c r="L67" s="550"/>
    </row>
    <row r="68" spans="1:12" s="145" customFormat="1" ht="19.5" customHeight="1" hidden="1" outlineLevel="1">
      <c r="A68" s="352"/>
      <c r="B68" s="171" t="s">
        <v>392</v>
      </c>
      <c r="C68" s="156"/>
      <c r="D68" s="156"/>
      <c r="E68" s="156"/>
      <c r="F68" s="156"/>
      <c r="G68" s="156"/>
      <c r="H68" s="156"/>
      <c r="I68" s="156"/>
      <c r="J68" s="156"/>
      <c r="K68" s="269"/>
      <c r="L68" s="550"/>
    </row>
    <row r="69" spans="1:12" s="145" customFormat="1" ht="42" customHeight="1" hidden="1" outlineLevel="1">
      <c r="A69" s="270">
        <v>5</v>
      </c>
      <c r="B69" s="163" t="s">
        <v>199</v>
      </c>
      <c r="C69" s="156"/>
      <c r="D69" s="156"/>
      <c r="E69" s="156"/>
      <c r="F69" s="156"/>
      <c r="G69" s="156"/>
      <c r="H69" s="156"/>
      <c r="I69" s="156"/>
      <c r="J69" s="156"/>
      <c r="K69" s="269"/>
      <c r="L69" s="550"/>
    </row>
    <row r="70" spans="1:12" s="145" customFormat="1" ht="39" customHeight="1" hidden="1" outlineLevel="1">
      <c r="A70" s="270">
        <v>6</v>
      </c>
      <c r="B70" s="163" t="s">
        <v>200</v>
      </c>
      <c r="C70" s="160" t="s">
        <v>231</v>
      </c>
      <c r="D70" s="162" t="s">
        <v>291</v>
      </c>
      <c r="E70" s="162" t="s">
        <v>291</v>
      </c>
      <c r="F70" s="158"/>
      <c r="G70" s="162" t="s">
        <v>291</v>
      </c>
      <c r="H70" s="162" t="s">
        <v>291</v>
      </c>
      <c r="I70" s="158"/>
      <c r="J70" s="162" t="s">
        <v>291</v>
      </c>
      <c r="K70" s="269"/>
      <c r="L70" s="550"/>
    </row>
    <row r="71" spans="1:12" s="145" customFormat="1" ht="30" customHeight="1" hidden="1" outlineLevel="1">
      <c r="A71" s="270">
        <v>7</v>
      </c>
      <c r="B71" s="163" t="s">
        <v>410</v>
      </c>
      <c r="C71" s="166"/>
      <c r="D71" s="162" t="s">
        <v>291</v>
      </c>
      <c r="E71" s="162" t="s">
        <v>291</v>
      </c>
      <c r="F71" s="158"/>
      <c r="G71" s="162" t="s">
        <v>291</v>
      </c>
      <c r="H71" s="162" t="s">
        <v>291</v>
      </c>
      <c r="I71" s="158"/>
      <c r="J71" s="158"/>
      <c r="K71" s="269"/>
      <c r="L71" s="550"/>
    </row>
    <row r="72" spans="1:12" s="145" customFormat="1" ht="23.25" customHeight="1" hidden="1" outlineLevel="1">
      <c r="A72" s="270" t="s">
        <v>300</v>
      </c>
      <c r="B72" s="155" t="s">
        <v>297</v>
      </c>
      <c r="C72" s="161"/>
      <c r="D72" s="157"/>
      <c r="E72" s="158"/>
      <c r="F72" s="158"/>
      <c r="G72" s="157"/>
      <c r="H72" s="158"/>
      <c r="I72" s="158"/>
      <c r="J72" s="158"/>
      <c r="K72" s="269"/>
      <c r="L72" s="550"/>
    </row>
    <row r="73" spans="1:12" s="145" customFormat="1" ht="24.75" customHeight="1" collapsed="1">
      <c r="A73" s="327" t="s">
        <v>340</v>
      </c>
      <c r="B73" s="341"/>
      <c r="C73" s="341"/>
      <c r="D73" s="341"/>
      <c r="E73" s="341"/>
      <c r="F73" s="341"/>
      <c r="G73" s="341"/>
      <c r="H73" s="341"/>
      <c r="I73" s="341"/>
      <c r="J73" s="342"/>
      <c r="K73" s="269"/>
      <c r="L73" s="550"/>
    </row>
    <row r="74" spans="1:12" s="144" customFormat="1" ht="24.75" customHeight="1">
      <c r="A74" s="330" t="s">
        <v>250</v>
      </c>
      <c r="B74" s="331"/>
      <c r="C74" s="331"/>
      <c r="D74" s="331"/>
      <c r="E74" s="331"/>
      <c r="F74" s="331"/>
      <c r="G74" s="331"/>
      <c r="H74" s="331"/>
      <c r="I74" s="331"/>
      <c r="J74" s="332"/>
      <c r="K74" s="277"/>
      <c r="L74" s="547"/>
    </row>
    <row r="75" spans="1:12" s="144" customFormat="1" ht="24.75" customHeight="1" hidden="1" outlineLevel="1">
      <c r="A75" s="271">
        <v>1</v>
      </c>
      <c r="B75" s="163" t="s">
        <v>47</v>
      </c>
      <c r="C75" s="160"/>
      <c r="D75" s="160" t="s">
        <v>291</v>
      </c>
      <c r="E75" s="160" t="s">
        <v>291</v>
      </c>
      <c r="F75" s="162"/>
      <c r="G75" s="160" t="s">
        <v>291</v>
      </c>
      <c r="H75" s="160" t="s">
        <v>291</v>
      </c>
      <c r="I75" s="162"/>
      <c r="J75" s="162"/>
      <c r="K75" s="277"/>
      <c r="L75" s="547"/>
    </row>
    <row r="76" spans="1:12" s="145" customFormat="1" ht="30" customHeight="1" hidden="1" outlineLevel="1">
      <c r="A76" s="271">
        <v>2</v>
      </c>
      <c r="B76" s="163" t="s">
        <v>227</v>
      </c>
      <c r="C76" s="156"/>
      <c r="D76" s="162"/>
      <c r="E76" s="162"/>
      <c r="F76" s="158"/>
      <c r="G76" s="162"/>
      <c r="H76" s="162"/>
      <c r="I76" s="158"/>
      <c r="J76" s="162"/>
      <c r="K76" s="269"/>
      <c r="L76" s="550"/>
    </row>
    <row r="77" spans="1:12" s="145" customFormat="1" ht="19.5" customHeight="1" hidden="1" outlineLevel="1">
      <c r="A77" s="270" t="s">
        <v>300</v>
      </c>
      <c r="B77" s="155" t="s">
        <v>297</v>
      </c>
      <c r="C77" s="161"/>
      <c r="D77" s="157"/>
      <c r="E77" s="158"/>
      <c r="F77" s="158"/>
      <c r="G77" s="157"/>
      <c r="H77" s="158"/>
      <c r="I77" s="158"/>
      <c r="J77" s="158"/>
      <c r="K77" s="269"/>
      <c r="L77" s="550"/>
    </row>
    <row r="78" spans="1:12" s="144" customFormat="1" ht="24.75" customHeight="1" collapsed="1">
      <c r="A78" s="330" t="s">
        <v>251</v>
      </c>
      <c r="B78" s="331"/>
      <c r="C78" s="331"/>
      <c r="D78" s="331"/>
      <c r="E78" s="331"/>
      <c r="F78" s="331"/>
      <c r="G78" s="331"/>
      <c r="H78" s="331"/>
      <c r="I78" s="331"/>
      <c r="J78" s="332"/>
      <c r="K78" s="277"/>
      <c r="L78" s="547"/>
    </row>
    <row r="79" spans="1:12" s="145" customFormat="1" ht="30" customHeight="1" hidden="1" outlineLevel="1">
      <c r="A79" s="271">
        <v>1</v>
      </c>
      <c r="B79" s="155" t="s">
        <v>362</v>
      </c>
      <c r="C79" s="156"/>
      <c r="D79" s="162" t="s">
        <v>291</v>
      </c>
      <c r="E79" s="162" t="s">
        <v>291</v>
      </c>
      <c r="F79" s="158"/>
      <c r="G79" s="162" t="s">
        <v>291</v>
      </c>
      <c r="H79" s="162" t="s">
        <v>291</v>
      </c>
      <c r="I79" s="158"/>
      <c r="J79" s="162"/>
      <c r="K79" s="269"/>
      <c r="L79" s="550"/>
    </row>
    <row r="80" spans="1:12" s="145" customFormat="1" ht="19.5" customHeight="1" hidden="1" outlineLevel="1">
      <c r="A80" s="270" t="s">
        <v>300</v>
      </c>
      <c r="B80" s="155" t="s">
        <v>297</v>
      </c>
      <c r="C80" s="161"/>
      <c r="D80" s="157"/>
      <c r="E80" s="158"/>
      <c r="F80" s="158"/>
      <c r="G80" s="157"/>
      <c r="H80" s="158"/>
      <c r="I80" s="158"/>
      <c r="J80" s="158"/>
      <c r="K80" s="269"/>
      <c r="L80" s="550"/>
    </row>
    <row r="81" spans="1:12" s="144" customFormat="1" ht="24.75" customHeight="1" collapsed="1">
      <c r="A81" s="330" t="s">
        <v>252</v>
      </c>
      <c r="B81" s="331"/>
      <c r="C81" s="331"/>
      <c r="D81" s="331"/>
      <c r="E81" s="331"/>
      <c r="F81" s="331"/>
      <c r="G81" s="331"/>
      <c r="H81" s="331"/>
      <c r="I81" s="331"/>
      <c r="J81" s="332"/>
      <c r="K81" s="277"/>
      <c r="L81" s="547"/>
    </row>
    <row r="82" spans="1:12" s="145" customFormat="1" ht="45" customHeight="1" hidden="1" outlineLevel="1">
      <c r="A82" s="271">
        <v>1</v>
      </c>
      <c r="B82" s="155" t="s">
        <v>363</v>
      </c>
      <c r="C82" s="156"/>
      <c r="D82" s="162" t="s">
        <v>291</v>
      </c>
      <c r="E82" s="162" t="s">
        <v>291</v>
      </c>
      <c r="F82" s="158"/>
      <c r="G82" s="162" t="s">
        <v>291</v>
      </c>
      <c r="H82" s="162" t="s">
        <v>291</v>
      </c>
      <c r="I82" s="172"/>
      <c r="J82" s="162"/>
      <c r="K82" s="269"/>
      <c r="L82" s="550"/>
    </row>
    <row r="83" spans="1:12" s="145" customFormat="1" ht="30" customHeight="1" hidden="1" outlineLevel="1">
      <c r="A83" s="271">
        <v>2</v>
      </c>
      <c r="B83" s="163" t="s">
        <v>201</v>
      </c>
      <c r="C83" s="156"/>
      <c r="D83" s="162" t="s">
        <v>291</v>
      </c>
      <c r="E83" s="162" t="s">
        <v>291</v>
      </c>
      <c r="F83" s="158"/>
      <c r="G83" s="162" t="s">
        <v>291</v>
      </c>
      <c r="H83" s="162" t="s">
        <v>291</v>
      </c>
      <c r="I83" s="172"/>
      <c r="J83" s="162"/>
      <c r="K83" s="269"/>
      <c r="L83" s="550"/>
    </row>
    <row r="84" spans="1:12" s="145" customFormat="1" ht="45" customHeight="1" hidden="1" outlineLevel="1">
      <c r="A84" s="271">
        <v>3</v>
      </c>
      <c r="B84" s="155" t="s">
        <v>366</v>
      </c>
      <c r="C84" s="156"/>
      <c r="D84" s="162" t="s">
        <v>291</v>
      </c>
      <c r="E84" s="162" t="s">
        <v>291</v>
      </c>
      <c r="F84" s="158"/>
      <c r="G84" s="162" t="s">
        <v>291</v>
      </c>
      <c r="H84" s="162" t="s">
        <v>291</v>
      </c>
      <c r="I84" s="172"/>
      <c r="J84" s="162"/>
      <c r="K84" s="269"/>
      <c r="L84" s="550"/>
    </row>
    <row r="85" spans="1:12" s="145" customFormat="1" ht="39" customHeight="1" hidden="1" outlineLevel="1">
      <c r="A85" s="271">
        <v>4</v>
      </c>
      <c r="B85" s="155" t="s">
        <v>367</v>
      </c>
      <c r="C85" s="156"/>
      <c r="D85" s="162" t="s">
        <v>291</v>
      </c>
      <c r="E85" s="162" t="s">
        <v>291</v>
      </c>
      <c r="F85" s="158"/>
      <c r="G85" s="162" t="s">
        <v>291</v>
      </c>
      <c r="H85" s="162" t="s">
        <v>291</v>
      </c>
      <c r="I85" s="172"/>
      <c r="J85" s="162"/>
      <c r="K85" s="269"/>
      <c r="L85" s="550"/>
    </row>
    <row r="86" spans="1:12" s="145" customFormat="1" ht="19.5" customHeight="1" hidden="1" outlineLevel="1">
      <c r="A86" s="270" t="s">
        <v>300</v>
      </c>
      <c r="B86" s="155" t="s">
        <v>297</v>
      </c>
      <c r="C86" s="161"/>
      <c r="D86" s="157"/>
      <c r="E86" s="158"/>
      <c r="F86" s="158"/>
      <c r="G86" s="157"/>
      <c r="H86" s="158"/>
      <c r="I86" s="158"/>
      <c r="J86" s="158"/>
      <c r="K86" s="269"/>
      <c r="L86" s="550"/>
    </row>
    <row r="87" spans="1:12" s="144" customFormat="1" ht="24.75" customHeight="1" collapsed="1">
      <c r="A87" s="330" t="s">
        <v>253</v>
      </c>
      <c r="B87" s="331"/>
      <c r="C87" s="331"/>
      <c r="D87" s="331"/>
      <c r="E87" s="331"/>
      <c r="F87" s="331"/>
      <c r="G87" s="331"/>
      <c r="H87" s="331"/>
      <c r="I87" s="331"/>
      <c r="J87" s="332"/>
      <c r="K87" s="277"/>
      <c r="L87" s="547"/>
    </row>
    <row r="88" spans="1:12" s="145" customFormat="1" ht="45" customHeight="1" hidden="1" outlineLevel="1">
      <c r="A88" s="271">
        <v>1</v>
      </c>
      <c r="B88" s="163" t="s">
        <v>203</v>
      </c>
      <c r="C88" s="156"/>
      <c r="D88" s="156"/>
      <c r="E88" s="156"/>
      <c r="F88" s="156"/>
      <c r="G88" s="156"/>
      <c r="H88" s="156"/>
      <c r="I88" s="156"/>
      <c r="J88" s="162"/>
      <c r="K88" s="269"/>
      <c r="L88" s="550"/>
    </row>
    <row r="89" spans="1:12" s="145" customFormat="1" ht="25.5" customHeight="1" hidden="1" outlineLevel="1">
      <c r="A89" s="173">
        <v>2</v>
      </c>
      <c r="B89" s="163" t="s">
        <v>37</v>
      </c>
      <c r="C89" s="190" t="s">
        <v>231</v>
      </c>
      <c r="D89" s="166"/>
      <c r="E89" s="166"/>
      <c r="F89" s="166"/>
      <c r="G89" s="166"/>
      <c r="H89" s="166"/>
      <c r="I89" s="166"/>
      <c r="J89" s="174" t="s">
        <v>291</v>
      </c>
      <c r="K89" s="269"/>
      <c r="L89" s="550"/>
    </row>
    <row r="90" spans="1:12" s="145" customFormat="1" ht="24.75" customHeight="1" hidden="1" outlineLevel="1">
      <c r="A90" s="271">
        <v>3</v>
      </c>
      <c r="B90" s="170" t="s">
        <v>136</v>
      </c>
      <c r="C90" s="156"/>
      <c r="D90" s="162" t="s">
        <v>291</v>
      </c>
      <c r="E90" s="162" t="s">
        <v>291</v>
      </c>
      <c r="F90" s="156"/>
      <c r="G90" s="162" t="s">
        <v>291</v>
      </c>
      <c r="H90" s="162" t="s">
        <v>291</v>
      </c>
      <c r="I90" s="156"/>
      <c r="J90" s="162"/>
      <c r="K90" s="269"/>
      <c r="L90" s="550"/>
    </row>
    <row r="91" spans="1:12" s="145" customFormat="1" ht="24.75" customHeight="1" hidden="1" outlineLevel="1">
      <c r="A91" s="270" t="s">
        <v>300</v>
      </c>
      <c r="B91" s="155" t="s">
        <v>297</v>
      </c>
      <c r="C91" s="161"/>
      <c r="D91" s="157"/>
      <c r="E91" s="158"/>
      <c r="F91" s="158"/>
      <c r="G91" s="157"/>
      <c r="H91" s="158"/>
      <c r="I91" s="158"/>
      <c r="J91" s="158"/>
      <c r="K91" s="269"/>
      <c r="L91" s="550"/>
    </row>
    <row r="92" spans="1:12" s="145" customFormat="1" ht="24.75" customHeight="1" collapsed="1">
      <c r="A92" s="330" t="s">
        <v>137</v>
      </c>
      <c r="B92" s="331"/>
      <c r="C92" s="331"/>
      <c r="D92" s="331"/>
      <c r="E92" s="331"/>
      <c r="F92" s="331"/>
      <c r="G92" s="331"/>
      <c r="H92" s="331"/>
      <c r="I92" s="331"/>
      <c r="J92" s="332"/>
      <c r="K92" s="269"/>
      <c r="L92" s="550"/>
    </row>
    <row r="93" spans="1:12" s="145" customFormat="1" ht="30.75" customHeight="1" hidden="1" outlineLevel="1">
      <c r="A93" s="333">
        <v>1</v>
      </c>
      <c r="B93" s="163" t="s">
        <v>138</v>
      </c>
      <c r="C93" s="160"/>
      <c r="D93" s="160" t="s">
        <v>291</v>
      </c>
      <c r="E93" s="160" t="s">
        <v>291</v>
      </c>
      <c r="F93" s="162"/>
      <c r="G93" s="160" t="s">
        <v>291</v>
      </c>
      <c r="H93" s="160" t="s">
        <v>291</v>
      </c>
      <c r="I93" s="162"/>
      <c r="J93" s="162"/>
      <c r="K93" s="269"/>
      <c r="L93" s="550"/>
    </row>
    <row r="94" spans="1:12" s="145" customFormat="1" ht="24.75" customHeight="1" hidden="1" outlineLevel="1">
      <c r="A94" s="344"/>
      <c r="B94" s="163" t="s">
        <v>139</v>
      </c>
      <c r="C94" s="160"/>
      <c r="D94" s="160" t="s">
        <v>291</v>
      </c>
      <c r="E94" s="160" t="s">
        <v>291</v>
      </c>
      <c r="F94" s="162"/>
      <c r="G94" s="160" t="s">
        <v>291</v>
      </c>
      <c r="H94" s="160" t="s">
        <v>291</v>
      </c>
      <c r="I94" s="162"/>
      <c r="J94" s="162"/>
      <c r="K94" s="269"/>
      <c r="L94" s="550"/>
    </row>
    <row r="95" spans="1:12" s="145" customFormat="1" ht="24.75" customHeight="1" hidden="1" outlineLevel="1">
      <c r="A95" s="345"/>
      <c r="B95" s="163" t="s">
        <v>140</v>
      </c>
      <c r="C95" s="160"/>
      <c r="D95" s="160" t="s">
        <v>291</v>
      </c>
      <c r="E95" s="160" t="s">
        <v>291</v>
      </c>
      <c r="F95" s="162"/>
      <c r="G95" s="160" t="s">
        <v>291</v>
      </c>
      <c r="H95" s="160" t="s">
        <v>291</v>
      </c>
      <c r="I95" s="162"/>
      <c r="J95" s="162"/>
      <c r="K95" s="269"/>
      <c r="L95" s="550"/>
    </row>
    <row r="96" spans="1:12" s="145" customFormat="1" ht="24.75" customHeight="1" hidden="1" outlineLevel="1">
      <c r="A96" s="270" t="s">
        <v>300</v>
      </c>
      <c r="B96" s="155" t="s">
        <v>297</v>
      </c>
      <c r="C96" s="161"/>
      <c r="D96" s="157"/>
      <c r="E96" s="158"/>
      <c r="F96" s="158"/>
      <c r="G96" s="157"/>
      <c r="H96" s="158"/>
      <c r="I96" s="158"/>
      <c r="J96" s="158"/>
      <c r="K96" s="269"/>
      <c r="L96" s="550"/>
    </row>
    <row r="97" spans="1:12" s="145" customFormat="1" ht="24.75" customHeight="1" collapsed="1">
      <c r="A97" s="330" t="s">
        <v>341</v>
      </c>
      <c r="B97" s="331"/>
      <c r="C97" s="331"/>
      <c r="D97" s="331"/>
      <c r="E97" s="331"/>
      <c r="F97" s="331"/>
      <c r="G97" s="331"/>
      <c r="H97" s="331"/>
      <c r="I97" s="331"/>
      <c r="J97" s="332"/>
      <c r="K97" s="269"/>
      <c r="L97" s="550"/>
    </row>
    <row r="98" spans="1:12" s="144" customFormat="1" ht="24.75" customHeight="1">
      <c r="A98" s="330" t="s">
        <v>254</v>
      </c>
      <c r="B98" s="331"/>
      <c r="C98" s="331"/>
      <c r="D98" s="331"/>
      <c r="E98" s="331"/>
      <c r="F98" s="331"/>
      <c r="G98" s="331"/>
      <c r="H98" s="331"/>
      <c r="I98" s="331"/>
      <c r="J98" s="332"/>
      <c r="K98" s="277"/>
      <c r="L98" s="547"/>
    </row>
    <row r="99" spans="1:12" s="145" customFormat="1" ht="25.5" customHeight="1" hidden="1" outlineLevel="1">
      <c r="A99" s="271">
        <v>1</v>
      </c>
      <c r="B99" s="163" t="s">
        <v>342</v>
      </c>
      <c r="C99" s="156"/>
      <c r="D99" s="162" t="s">
        <v>291</v>
      </c>
      <c r="E99" s="162" t="s">
        <v>291</v>
      </c>
      <c r="F99" s="158"/>
      <c r="G99" s="162" t="s">
        <v>291</v>
      </c>
      <c r="H99" s="162" t="s">
        <v>291</v>
      </c>
      <c r="I99" s="158"/>
      <c r="J99" s="162"/>
      <c r="K99" s="269"/>
      <c r="L99" s="550"/>
    </row>
    <row r="100" spans="1:12" s="145" customFormat="1" ht="19.5" customHeight="1" hidden="1" outlineLevel="1">
      <c r="A100" s="271">
        <v>2</v>
      </c>
      <c r="B100" s="155" t="s">
        <v>343</v>
      </c>
      <c r="C100" s="160" t="s">
        <v>231</v>
      </c>
      <c r="D100" s="162" t="s">
        <v>291</v>
      </c>
      <c r="E100" s="162" t="s">
        <v>291</v>
      </c>
      <c r="F100" s="158"/>
      <c r="G100" s="162" t="s">
        <v>291</v>
      </c>
      <c r="H100" s="162" t="s">
        <v>291</v>
      </c>
      <c r="I100" s="158"/>
      <c r="J100" s="162" t="s">
        <v>291</v>
      </c>
      <c r="K100" s="269"/>
      <c r="L100" s="550"/>
    </row>
    <row r="101" spans="1:12" s="145" customFormat="1" ht="30" customHeight="1" hidden="1" outlineLevel="1">
      <c r="A101" s="271">
        <v>3</v>
      </c>
      <c r="B101" s="163" t="s">
        <v>255</v>
      </c>
      <c r="C101" s="156"/>
      <c r="D101" s="156"/>
      <c r="E101" s="156"/>
      <c r="F101" s="158"/>
      <c r="G101" s="156"/>
      <c r="H101" s="156"/>
      <c r="I101" s="158"/>
      <c r="J101" s="162"/>
      <c r="K101" s="269"/>
      <c r="L101" s="550"/>
    </row>
    <row r="102" spans="1:12" s="288" customFormat="1" ht="24.75" customHeight="1" hidden="1" outlineLevel="1">
      <c r="A102" s="173">
        <v>4</v>
      </c>
      <c r="B102" s="163" t="s">
        <v>256</v>
      </c>
      <c r="C102" s="156"/>
      <c r="D102" s="156"/>
      <c r="E102" s="156"/>
      <c r="F102" s="158"/>
      <c r="G102" s="156"/>
      <c r="H102" s="156"/>
      <c r="I102" s="158"/>
      <c r="J102" s="174"/>
      <c r="K102" s="287"/>
      <c r="L102" s="552"/>
    </row>
    <row r="103" spans="1:12" s="145" customFormat="1" ht="28.5" customHeight="1" hidden="1" outlineLevel="1">
      <c r="A103" s="343">
        <v>5</v>
      </c>
      <c r="B103" s="163" t="s">
        <v>204</v>
      </c>
      <c r="C103" s="156"/>
      <c r="D103" s="162" t="s">
        <v>291</v>
      </c>
      <c r="E103" s="162" t="s">
        <v>291</v>
      </c>
      <c r="F103" s="158"/>
      <c r="G103" s="162" t="s">
        <v>291</v>
      </c>
      <c r="H103" s="162" t="s">
        <v>291</v>
      </c>
      <c r="I103" s="158"/>
      <c r="J103" s="162"/>
      <c r="K103" s="269"/>
      <c r="L103" s="550"/>
    </row>
    <row r="104" spans="1:12" s="145" customFormat="1" ht="24.75" customHeight="1" hidden="1" outlineLevel="1">
      <c r="A104" s="343"/>
      <c r="B104" s="164" t="s">
        <v>393</v>
      </c>
      <c r="C104" s="156"/>
      <c r="D104" s="162" t="s">
        <v>291</v>
      </c>
      <c r="E104" s="162" t="s">
        <v>291</v>
      </c>
      <c r="F104" s="158"/>
      <c r="G104" s="162" t="s">
        <v>291</v>
      </c>
      <c r="H104" s="162" t="s">
        <v>291</v>
      </c>
      <c r="I104" s="158"/>
      <c r="J104" s="162"/>
      <c r="K104" s="269"/>
      <c r="L104" s="550"/>
    </row>
    <row r="105" spans="1:12" s="145" customFormat="1" ht="24.75" customHeight="1" hidden="1" outlineLevel="1">
      <c r="A105" s="343"/>
      <c r="B105" s="164" t="s">
        <v>394</v>
      </c>
      <c r="C105" s="156"/>
      <c r="D105" s="162" t="s">
        <v>291</v>
      </c>
      <c r="E105" s="162" t="s">
        <v>291</v>
      </c>
      <c r="F105" s="158"/>
      <c r="G105" s="162" t="s">
        <v>291</v>
      </c>
      <c r="H105" s="162" t="s">
        <v>291</v>
      </c>
      <c r="I105" s="158"/>
      <c r="J105" s="162"/>
      <c r="K105" s="269"/>
      <c r="L105" s="550"/>
    </row>
    <row r="106" spans="1:12" s="145" customFormat="1" ht="30" customHeight="1" hidden="1" outlineLevel="1">
      <c r="A106" s="271">
        <v>6</v>
      </c>
      <c r="B106" s="155" t="s">
        <v>368</v>
      </c>
      <c r="C106" s="156"/>
      <c r="D106" s="162" t="s">
        <v>291</v>
      </c>
      <c r="E106" s="162" t="s">
        <v>291</v>
      </c>
      <c r="F106" s="158"/>
      <c r="G106" s="162" t="s">
        <v>291</v>
      </c>
      <c r="H106" s="162" t="s">
        <v>291</v>
      </c>
      <c r="I106" s="158"/>
      <c r="J106" s="162"/>
      <c r="K106" s="269"/>
      <c r="L106" s="550"/>
    </row>
    <row r="107" spans="1:12" s="145" customFormat="1" ht="30" customHeight="1" hidden="1" outlineLevel="1">
      <c r="A107" s="271">
        <v>7</v>
      </c>
      <c r="B107" s="155" t="s">
        <v>344</v>
      </c>
      <c r="C107" s="156"/>
      <c r="D107" s="156"/>
      <c r="E107" s="156"/>
      <c r="F107" s="156"/>
      <c r="G107" s="156"/>
      <c r="H107" s="156"/>
      <c r="I107" s="156"/>
      <c r="J107" s="162"/>
      <c r="K107" s="269"/>
      <c r="L107" s="550"/>
    </row>
    <row r="108" spans="1:12" s="145" customFormat="1" ht="39" customHeight="1" hidden="1" outlineLevel="1">
      <c r="A108" s="271">
        <v>8</v>
      </c>
      <c r="B108" s="155" t="s">
        <v>345</v>
      </c>
      <c r="C108" s="156"/>
      <c r="D108" s="156"/>
      <c r="E108" s="156"/>
      <c r="F108" s="156"/>
      <c r="G108" s="156"/>
      <c r="H108" s="156"/>
      <c r="I108" s="156"/>
      <c r="J108" s="162"/>
      <c r="K108" s="269"/>
      <c r="L108" s="550"/>
    </row>
    <row r="109" spans="1:12" s="145" customFormat="1" ht="28.5" customHeight="1" hidden="1" outlineLevel="1">
      <c r="A109" s="270" t="s">
        <v>300</v>
      </c>
      <c r="B109" s="155" t="s">
        <v>297</v>
      </c>
      <c r="C109" s="161"/>
      <c r="D109" s="157"/>
      <c r="E109" s="158"/>
      <c r="F109" s="158"/>
      <c r="G109" s="157"/>
      <c r="H109" s="158"/>
      <c r="I109" s="158"/>
      <c r="J109" s="158"/>
      <c r="K109" s="269"/>
      <c r="L109" s="550"/>
    </row>
    <row r="110" spans="1:12" s="144" customFormat="1" ht="24.75" customHeight="1" collapsed="1">
      <c r="A110" s="330" t="s">
        <v>257</v>
      </c>
      <c r="B110" s="331"/>
      <c r="C110" s="331"/>
      <c r="D110" s="331"/>
      <c r="E110" s="331"/>
      <c r="F110" s="331"/>
      <c r="G110" s="331"/>
      <c r="H110" s="331"/>
      <c r="I110" s="331"/>
      <c r="J110" s="332"/>
      <c r="K110" s="277"/>
      <c r="L110" s="547"/>
    </row>
    <row r="111" spans="1:12" s="145" customFormat="1" ht="45" customHeight="1" hidden="1" outlineLevel="1">
      <c r="A111" s="271">
        <v>1</v>
      </c>
      <c r="B111" s="163" t="s">
        <v>205</v>
      </c>
      <c r="C111" s="156"/>
      <c r="D111" s="157"/>
      <c r="E111" s="158"/>
      <c r="F111" s="158"/>
      <c r="G111" s="157"/>
      <c r="H111" s="158"/>
      <c r="I111" s="158"/>
      <c r="J111" s="162"/>
      <c r="K111" s="269"/>
      <c r="L111" s="550"/>
    </row>
    <row r="112" spans="1:12" s="145" customFormat="1" ht="19.5" customHeight="1" hidden="1" outlineLevel="1">
      <c r="A112" s="270" t="s">
        <v>300</v>
      </c>
      <c r="B112" s="155" t="s">
        <v>297</v>
      </c>
      <c r="C112" s="161"/>
      <c r="D112" s="157"/>
      <c r="E112" s="158"/>
      <c r="F112" s="158"/>
      <c r="G112" s="157"/>
      <c r="H112" s="158"/>
      <c r="I112" s="158"/>
      <c r="J112" s="158"/>
      <c r="K112" s="269"/>
      <c r="L112" s="550"/>
    </row>
    <row r="113" spans="1:12" s="144" customFormat="1" ht="24.75" customHeight="1" collapsed="1">
      <c r="A113" s="330" t="s">
        <v>124</v>
      </c>
      <c r="B113" s="331"/>
      <c r="C113" s="331"/>
      <c r="D113" s="331"/>
      <c r="E113" s="331"/>
      <c r="F113" s="331"/>
      <c r="G113" s="331"/>
      <c r="H113" s="331"/>
      <c r="I113" s="331"/>
      <c r="J113" s="332"/>
      <c r="K113" s="277"/>
      <c r="L113" s="547"/>
    </row>
    <row r="114" spans="1:12" s="145" customFormat="1" ht="25.5" customHeight="1" hidden="1" outlineLevel="1">
      <c r="A114" s="271">
        <v>1</v>
      </c>
      <c r="B114" s="163" t="s">
        <v>342</v>
      </c>
      <c r="C114" s="156"/>
      <c r="D114" s="162" t="s">
        <v>291</v>
      </c>
      <c r="E114" s="162" t="s">
        <v>291</v>
      </c>
      <c r="F114" s="158"/>
      <c r="G114" s="162" t="s">
        <v>291</v>
      </c>
      <c r="H114" s="162" t="s">
        <v>291</v>
      </c>
      <c r="I114" s="158"/>
      <c r="J114" s="162"/>
      <c r="K114" s="269"/>
      <c r="L114" s="550"/>
    </row>
    <row r="115" spans="1:12" s="145" customFormat="1" ht="19.5" customHeight="1" hidden="1" outlineLevel="1">
      <c r="A115" s="271">
        <v>2</v>
      </c>
      <c r="B115" s="163" t="s">
        <v>343</v>
      </c>
      <c r="C115" s="160" t="s">
        <v>231</v>
      </c>
      <c r="D115" s="162" t="s">
        <v>291</v>
      </c>
      <c r="E115" s="162" t="s">
        <v>291</v>
      </c>
      <c r="F115" s="158"/>
      <c r="G115" s="162" t="s">
        <v>291</v>
      </c>
      <c r="H115" s="162" t="s">
        <v>291</v>
      </c>
      <c r="I115" s="158"/>
      <c r="J115" s="162" t="s">
        <v>291</v>
      </c>
      <c r="K115" s="269"/>
      <c r="L115" s="550"/>
    </row>
    <row r="116" spans="1:12" s="145" customFormat="1" ht="30" customHeight="1" hidden="1" outlineLevel="1">
      <c r="A116" s="271">
        <v>3</v>
      </c>
      <c r="B116" s="163" t="s">
        <v>255</v>
      </c>
      <c r="C116" s="156"/>
      <c r="D116" s="156"/>
      <c r="E116" s="156"/>
      <c r="F116" s="158"/>
      <c r="G116" s="156"/>
      <c r="H116" s="156"/>
      <c r="I116" s="158"/>
      <c r="J116" s="162"/>
      <c r="K116" s="269"/>
      <c r="L116" s="550"/>
    </row>
    <row r="117" spans="1:12" s="288" customFormat="1" ht="24.75" customHeight="1" hidden="1" outlineLevel="1">
      <c r="A117" s="173">
        <v>4</v>
      </c>
      <c r="B117" s="163" t="s">
        <v>256</v>
      </c>
      <c r="C117" s="156"/>
      <c r="D117" s="156"/>
      <c r="E117" s="156"/>
      <c r="F117" s="158"/>
      <c r="G117" s="156"/>
      <c r="H117" s="156"/>
      <c r="I117" s="158"/>
      <c r="J117" s="174"/>
      <c r="K117" s="287"/>
      <c r="L117" s="552"/>
    </row>
    <row r="118" spans="1:12" s="145" customFormat="1" ht="30" customHeight="1" hidden="1" outlineLevel="1">
      <c r="A118" s="271">
        <v>5</v>
      </c>
      <c r="B118" s="163" t="s">
        <v>368</v>
      </c>
      <c r="C118" s="156"/>
      <c r="D118" s="162" t="s">
        <v>291</v>
      </c>
      <c r="E118" s="162" t="s">
        <v>291</v>
      </c>
      <c r="F118" s="158"/>
      <c r="G118" s="162" t="s">
        <v>291</v>
      </c>
      <c r="H118" s="162" t="s">
        <v>291</v>
      </c>
      <c r="I118" s="158"/>
      <c r="J118" s="162"/>
      <c r="K118" s="269"/>
      <c r="L118" s="550"/>
    </row>
    <row r="119" spans="1:12" s="145" customFormat="1" ht="28.5" customHeight="1" hidden="1" outlineLevel="1">
      <c r="A119" s="270" t="s">
        <v>300</v>
      </c>
      <c r="B119" s="163" t="s">
        <v>297</v>
      </c>
      <c r="C119" s="161"/>
      <c r="D119" s="157"/>
      <c r="E119" s="158"/>
      <c r="F119" s="158"/>
      <c r="G119" s="157"/>
      <c r="H119" s="158"/>
      <c r="I119" s="158"/>
      <c r="J119" s="158"/>
      <c r="K119" s="269"/>
      <c r="L119" s="550"/>
    </row>
    <row r="120" spans="1:12" s="145" customFormat="1" ht="24.75" customHeight="1" collapsed="1">
      <c r="A120" s="330" t="s">
        <v>346</v>
      </c>
      <c r="B120" s="331"/>
      <c r="C120" s="331"/>
      <c r="D120" s="331"/>
      <c r="E120" s="331"/>
      <c r="F120" s="331"/>
      <c r="G120" s="331"/>
      <c r="H120" s="331"/>
      <c r="I120" s="331"/>
      <c r="J120" s="332"/>
      <c r="K120" s="269"/>
      <c r="L120" s="550"/>
    </row>
    <row r="121" spans="1:12" s="144" customFormat="1" ht="24.75" customHeight="1">
      <c r="A121" s="330" t="s">
        <v>258</v>
      </c>
      <c r="B121" s="331"/>
      <c r="C121" s="331"/>
      <c r="D121" s="331"/>
      <c r="E121" s="331"/>
      <c r="F121" s="331"/>
      <c r="G121" s="331"/>
      <c r="H121" s="331"/>
      <c r="I121" s="331"/>
      <c r="J121" s="332"/>
      <c r="K121" s="277"/>
      <c r="L121" s="547"/>
    </row>
    <row r="122" spans="1:12" s="145" customFormat="1" ht="30" customHeight="1" hidden="1" outlineLevel="1">
      <c r="A122" s="333">
        <v>1</v>
      </c>
      <c r="B122" s="163" t="s">
        <v>303</v>
      </c>
      <c r="C122" s="156"/>
      <c r="D122" s="162" t="s">
        <v>291</v>
      </c>
      <c r="E122" s="162" t="s">
        <v>291</v>
      </c>
      <c r="F122" s="158"/>
      <c r="G122" s="162" t="s">
        <v>291</v>
      </c>
      <c r="H122" s="162" t="s">
        <v>291</v>
      </c>
      <c r="I122" s="158"/>
      <c r="J122" s="162"/>
      <c r="K122" s="269"/>
      <c r="L122" s="550"/>
    </row>
    <row r="123" spans="1:12" s="145" customFormat="1" ht="19.5" customHeight="1" hidden="1" outlineLevel="1">
      <c r="A123" s="344"/>
      <c r="B123" s="167" t="s">
        <v>259</v>
      </c>
      <c r="C123" s="156"/>
      <c r="D123" s="162" t="s">
        <v>291</v>
      </c>
      <c r="E123" s="162" t="s">
        <v>291</v>
      </c>
      <c r="F123" s="158"/>
      <c r="G123" s="162" t="s">
        <v>291</v>
      </c>
      <c r="H123" s="162" t="s">
        <v>291</v>
      </c>
      <c r="I123" s="158"/>
      <c r="J123" s="162"/>
      <c r="K123" s="269"/>
      <c r="L123" s="550"/>
    </row>
    <row r="124" spans="1:12" s="145" customFormat="1" ht="19.5" customHeight="1" hidden="1" outlineLevel="1">
      <c r="A124" s="345"/>
      <c r="B124" s="167" t="s">
        <v>260</v>
      </c>
      <c r="C124" s="156"/>
      <c r="D124" s="162" t="s">
        <v>291</v>
      </c>
      <c r="E124" s="162" t="s">
        <v>291</v>
      </c>
      <c r="F124" s="158"/>
      <c r="G124" s="162" t="s">
        <v>291</v>
      </c>
      <c r="H124" s="162" t="s">
        <v>291</v>
      </c>
      <c r="I124" s="158"/>
      <c r="J124" s="162"/>
      <c r="K124" s="269"/>
      <c r="L124" s="550"/>
    </row>
    <row r="125" spans="1:12" s="145" customFormat="1" ht="47.25" hidden="1" outlineLevel="1">
      <c r="A125" s="271">
        <v>2</v>
      </c>
      <c r="B125" s="163" t="s">
        <v>125</v>
      </c>
      <c r="C125" s="156"/>
      <c r="D125" s="156"/>
      <c r="E125" s="156"/>
      <c r="F125" s="158"/>
      <c r="G125" s="156"/>
      <c r="H125" s="156"/>
      <c r="I125" s="158"/>
      <c r="J125" s="156"/>
      <c r="K125" s="269"/>
      <c r="L125" s="550"/>
    </row>
    <row r="126" spans="1:12" s="145" customFormat="1" ht="47.25" hidden="1" outlineLevel="1">
      <c r="A126" s="271">
        <v>3</v>
      </c>
      <c r="B126" s="163" t="s">
        <v>126</v>
      </c>
      <c r="C126" s="156"/>
      <c r="D126" s="162" t="s">
        <v>291</v>
      </c>
      <c r="E126" s="162" t="s">
        <v>291</v>
      </c>
      <c r="F126" s="158"/>
      <c r="G126" s="162" t="s">
        <v>291</v>
      </c>
      <c r="H126" s="162" t="s">
        <v>291</v>
      </c>
      <c r="I126" s="158"/>
      <c r="J126" s="162"/>
      <c r="K126" s="269"/>
      <c r="L126" s="550"/>
    </row>
    <row r="127" spans="1:12" s="145" customFormat="1" ht="47.25" hidden="1" outlineLevel="1">
      <c r="A127" s="271">
        <v>4</v>
      </c>
      <c r="B127" s="163" t="s">
        <v>130</v>
      </c>
      <c r="C127" s="156"/>
      <c r="D127" s="162" t="s">
        <v>291</v>
      </c>
      <c r="E127" s="162" t="s">
        <v>291</v>
      </c>
      <c r="F127" s="158"/>
      <c r="G127" s="162" t="s">
        <v>291</v>
      </c>
      <c r="H127" s="162" t="s">
        <v>291</v>
      </c>
      <c r="I127" s="158"/>
      <c r="J127" s="162"/>
      <c r="K127" s="269"/>
      <c r="L127" s="550"/>
    </row>
    <row r="128" spans="1:12" s="145" customFormat="1" ht="47.25" hidden="1" outlineLevel="1">
      <c r="A128" s="271">
        <v>5</v>
      </c>
      <c r="B128" s="163" t="s">
        <v>131</v>
      </c>
      <c r="C128" s="156"/>
      <c r="D128" s="162" t="s">
        <v>291</v>
      </c>
      <c r="E128" s="162" t="s">
        <v>291</v>
      </c>
      <c r="F128" s="158"/>
      <c r="G128" s="162" t="s">
        <v>291</v>
      </c>
      <c r="H128" s="162" t="s">
        <v>291</v>
      </c>
      <c r="I128" s="158"/>
      <c r="J128" s="162"/>
      <c r="K128" s="269"/>
      <c r="L128" s="550"/>
    </row>
    <row r="129" spans="1:12" s="145" customFormat="1" ht="19.5" customHeight="1" hidden="1" outlineLevel="1">
      <c r="A129" s="270" t="s">
        <v>300</v>
      </c>
      <c r="B129" s="155" t="s">
        <v>297</v>
      </c>
      <c r="C129" s="156"/>
      <c r="D129" s="156"/>
      <c r="E129" s="156"/>
      <c r="F129" s="156"/>
      <c r="G129" s="156"/>
      <c r="H129" s="156"/>
      <c r="I129" s="156"/>
      <c r="J129" s="158"/>
      <c r="K129" s="269"/>
      <c r="L129" s="550"/>
    </row>
    <row r="130" spans="1:12" s="144" customFormat="1" ht="24.75" customHeight="1" collapsed="1">
      <c r="A130" s="330" t="s">
        <v>261</v>
      </c>
      <c r="B130" s="331"/>
      <c r="C130" s="331"/>
      <c r="D130" s="331"/>
      <c r="E130" s="331"/>
      <c r="F130" s="331"/>
      <c r="G130" s="331"/>
      <c r="H130" s="331"/>
      <c r="I130" s="331"/>
      <c r="J130" s="332"/>
      <c r="K130" s="277"/>
      <c r="L130" s="547"/>
    </row>
    <row r="131" spans="1:12" s="145" customFormat="1" ht="31.5" hidden="1" outlineLevel="1">
      <c r="A131" s="271">
        <v>1</v>
      </c>
      <c r="B131" s="163" t="s">
        <v>132</v>
      </c>
      <c r="C131" s="156"/>
      <c r="D131" s="156"/>
      <c r="E131" s="156"/>
      <c r="F131" s="156"/>
      <c r="G131" s="156"/>
      <c r="H131" s="156"/>
      <c r="I131" s="156"/>
      <c r="J131" s="162"/>
      <c r="K131" s="269"/>
      <c r="L131" s="550"/>
    </row>
    <row r="132" spans="1:12" s="145" customFormat="1" ht="30" customHeight="1" hidden="1" outlineLevel="1">
      <c r="A132" s="343">
        <v>2</v>
      </c>
      <c r="B132" s="163" t="s">
        <v>133</v>
      </c>
      <c r="C132" s="156"/>
      <c r="D132" s="162" t="s">
        <v>291</v>
      </c>
      <c r="E132" s="162" t="s">
        <v>291</v>
      </c>
      <c r="F132" s="156"/>
      <c r="G132" s="162" t="s">
        <v>291</v>
      </c>
      <c r="H132" s="162" t="s">
        <v>291</v>
      </c>
      <c r="I132" s="156"/>
      <c r="J132" s="162"/>
      <c r="K132" s="269"/>
      <c r="L132" s="550"/>
    </row>
    <row r="133" spans="1:12" s="145" customFormat="1" ht="19.5" customHeight="1" hidden="1" outlineLevel="1">
      <c r="A133" s="343"/>
      <c r="B133" s="164" t="s">
        <v>395</v>
      </c>
      <c r="C133" s="156"/>
      <c r="D133" s="162" t="s">
        <v>291</v>
      </c>
      <c r="E133" s="162" t="s">
        <v>291</v>
      </c>
      <c r="F133" s="156"/>
      <c r="G133" s="162" t="s">
        <v>291</v>
      </c>
      <c r="H133" s="162" t="s">
        <v>291</v>
      </c>
      <c r="I133" s="156"/>
      <c r="J133" s="162"/>
      <c r="K133" s="269"/>
      <c r="L133" s="550"/>
    </row>
    <row r="134" spans="1:12" s="145" customFormat="1" ht="19.5" customHeight="1" hidden="1" outlineLevel="1">
      <c r="A134" s="343"/>
      <c r="B134" s="164" t="s">
        <v>396</v>
      </c>
      <c r="C134" s="156"/>
      <c r="D134" s="162" t="s">
        <v>291</v>
      </c>
      <c r="E134" s="162" t="s">
        <v>291</v>
      </c>
      <c r="F134" s="156"/>
      <c r="G134" s="162" t="s">
        <v>291</v>
      </c>
      <c r="H134" s="162" t="s">
        <v>291</v>
      </c>
      <c r="I134" s="156"/>
      <c r="J134" s="162"/>
      <c r="K134" s="269"/>
      <c r="L134" s="550"/>
    </row>
    <row r="135" spans="1:12" s="145" customFormat="1" ht="19.5" customHeight="1" hidden="1" outlineLevel="1">
      <c r="A135" s="343"/>
      <c r="B135" s="164" t="s">
        <v>397</v>
      </c>
      <c r="C135" s="156"/>
      <c r="D135" s="162" t="s">
        <v>291</v>
      </c>
      <c r="E135" s="162" t="s">
        <v>291</v>
      </c>
      <c r="F135" s="156"/>
      <c r="G135" s="162" t="s">
        <v>291</v>
      </c>
      <c r="H135" s="162" t="s">
        <v>291</v>
      </c>
      <c r="I135" s="156"/>
      <c r="J135" s="162"/>
      <c r="K135" s="269"/>
      <c r="L135" s="550"/>
    </row>
    <row r="136" spans="1:12" s="145" customFormat="1" ht="47.25" hidden="1" outlineLevel="1">
      <c r="A136" s="271">
        <v>3</v>
      </c>
      <c r="B136" s="155" t="s">
        <v>134</v>
      </c>
      <c r="C136" s="156"/>
      <c r="D136" s="162"/>
      <c r="E136" s="162"/>
      <c r="F136" s="156"/>
      <c r="G136" s="162"/>
      <c r="H136" s="162"/>
      <c r="I136" s="156"/>
      <c r="J136" s="162"/>
      <c r="K136" s="269"/>
      <c r="L136" s="550"/>
    </row>
    <row r="137" spans="1:12" s="145" customFormat="1" ht="19.5" customHeight="1" hidden="1" outlineLevel="1">
      <c r="A137" s="270" t="s">
        <v>300</v>
      </c>
      <c r="B137" s="155" t="s">
        <v>297</v>
      </c>
      <c r="C137" s="156"/>
      <c r="D137" s="156"/>
      <c r="E137" s="156"/>
      <c r="F137" s="156"/>
      <c r="G137" s="156"/>
      <c r="H137" s="156"/>
      <c r="I137" s="156"/>
      <c r="J137" s="158"/>
      <c r="K137" s="269"/>
      <c r="L137" s="550"/>
    </row>
    <row r="138" spans="1:12" s="144" customFormat="1" ht="24.75" customHeight="1" collapsed="1">
      <c r="A138" s="330" t="s">
        <v>262</v>
      </c>
      <c r="B138" s="331"/>
      <c r="C138" s="331"/>
      <c r="D138" s="331"/>
      <c r="E138" s="331"/>
      <c r="F138" s="331"/>
      <c r="G138" s="331"/>
      <c r="H138" s="331"/>
      <c r="I138" s="331"/>
      <c r="J138" s="332"/>
      <c r="K138" s="277"/>
      <c r="L138" s="547"/>
    </row>
    <row r="139" spans="1:12" s="145" customFormat="1" ht="30" customHeight="1" hidden="1" outlineLevel="1">
      <c r="A139" s="271">
        <v>1</v>
      </c>
      <c r="B139" s="163" t="s">
        <v>263</v>
      </c>
      <c r="C139" s="156"/>
      <c r="D139" s="156"/>
      <c r="E139" s="156"/>
      <c r="F139" s="156"/>
      <c r="G139" s="156"/>
      <c r="H139" s="156"/>
      <c r="I139" s="156"/>
      <c r="J139" s="162"/>
      <c r="K139" s="269"/>
      <c r="L139" s="550"/>
    </row>
    <row r="140" spans="1:12" s="145" customFormat="1" ht="30" customHeight="1" hidden="1" outlineLevel="1">
      <c r="A140" s="271">
        <v>2</v>
      </c>
      <c r="B140" s="163" t="s">
        <v>135</v>
      </c>
      <c r="C140" s="156"/>
      <c r="D140" s="162" t="s">
        <v>291</v>
      </c>
      <c r="E140" s="162" t="s">
        <v>291</v>
      </c>
      <c r="F140" s="156"/>
      <c r="G140" s="162" t="s">
        <v>291</v>
      </c>
      <c r="H140" s="162" t="s">
        <v>291</v>
      </c>
      <c r="I140" s="156"/>
      <c r="J140" s="162"/>
      <c r="K140" s="269"/>
      <c r="L140" s="550"/>
    </row>
    <row r="141" spans="1:12" s="145" customFormat="1" ht="30" customHeight="1" hidden="1" outlineLevel="1">
      <c r="A141" s="271">
        <v>3</v>
      </c>
      <c r="B141" s="163" t="s">
        <v>369</v>
      </c>
      <c r="C141" s="156"/>
      <c r="D141" s="162" t="s">
        <v>291</v>
      </c>
      <c r="E141" s="162" t="s">
        <v>291</v>
      </c>
      <c r="F141" s="156"/>
      <c r="G141" s="162" t="s">
        <v>291</v>
      </c>
      <c r="H141" s="162" t="s">
        <v>291</v>
      </c>
      <c r="I141" s="156"/>
      <c r="J141" s="162"/>
      <c r="K141" s="269"/>
      <c r="L141" s="550"/>
    </row>
    <row r="142" spans="1:12" s="145" customFormat="1" ht="19.5" customHeight="1" hidden="1" outlineLevel="1">
      <c r="A142" s="270" t="s">
        <v>300</v>
      </c>
      <c r="B142" s="155" t="s">
        <v>297</v>
      </c>
      <c r="C142" s="156"/>
      <c r="D142" s="156"/>
      <c r="E142" s="156"/>
      <c r="F142" s="156"/>
      <c r="G142" s="156"/>
      <c r="H142" s="156"/>
      <c r="I142" s="156"/>
      <c r="J142" s="158"/>
      <c r="K142" s="269"/>
      <c r="L142" s="550"/>
    </row>
    <row r="143" spans="1:12" s="144" customFormat="1" ht="24.75" customHeight="1" collapsed="1">
      <c r="A143" s="330" t="s">
        <v>264</v>
      </c>
      <c r="B143" s="331"/>
      <c r="C143" s="331"/>
      <c r="D143" s="331"/>
      <c r="E143" s="331"/>
      <c r="F143" s="331"/>
      <c r="G143" s="331"/>
      <c r="H143" s="331"/>
      <c r="I143" s="331"/>
      <c r="J143" s="332"/>
      <c r="K143" s="277"/>
      <c r="L143" s="547"/>
    </row>
    <row r="144" spans="1:12" s="145" customFormat="1" ht="30" customHeight="1" hidden="1" outlineLevel="1">
      <c r="A144" s="271">
        <v>1</v>
      </c>
      <c r="B144" s="163" t="s">
        <v>265</v>
      </c>
      <c r="C144" s="156"/>
      <c r="D144" s="156"/>
      <c r="E144" s="156"/>
      <c r="F144" s="156"/>
      <c r="G144" s="156"/>
      <c r="H144" s="156"/>
      <c r="I144" s="156"/>
      <c r="J144" s="162"/>
      <c r="K144" s="269"/>
      <c r="L144" s="550"/>
    </row>
    <row r="145" spans="1:12" s="145" customFormat="1" ht="30" customHeight="1" hidden="1" outlineLevel="1">
      <c r="A145" s="271">
        <v>2</v>
      </c>
      <c r="B145" s="163" t="s">
        <v>370</v>
      </c>
      <c r="C145" s="156"/>
      <c r="D145" s="162" t="s">
        <v>291</v>
      </c>
      <c r="E145" s="162" t="s">
        <v>291</v>
      </c>
      <c r="F145" s="156"/>
      <c r="G145" s="162" t="s">
        <v>291</v>
      </c>
      <c r="H145" s="162" t="s">
        <v>291</v>
      </c>
      <c r="I145" s="156"/>
      <c r="J145" s="162"/>
      <c r="K145" s="269"/>
      <c r="L145" s="550"/>
    </row>
    <row r="146" spans="1:12" s="145" customFormat="1" ht="23.25" customHeight="1" hidden="1" outlineLevel="1">
      <c r="A146" s="270" t="s">
        <v>300</v>
      </c>
      <c r="B146" s="155" t="s">
        <v>297</v>
      </c>
      <c r="C146" s="156"/>
      <c r="D146" s="156"/>
      <c r="E146" s="156"/>
      <c r="F146" s="156"/>
      <c r="G146" s="156"/>
      <c r="H146" s="156"/>
      <c r="I146" s="156"/>
      <c r="J146" s="158"/>
      <c r="K146" s="269"/>
      <c r="L146" s="550"/>
    </row>
    <row r="147" spans="1:12" s="145" customFormat="1" ht="24.75" customHeight="1" collapsed="1">
      <c r="A147" s="327" t="s">
        <v>347</v>
      </c>
      <c r="B147" s="341"/>
      <c r="C147" s="341"/>
      <c r="D147" s="341"/>
      <c r="E147" s="341"/>
      <c r="F147" s="341"/>
      <c r="G147" s="341"/>
      <c r="H147" s="341"/>
      <c r="I147" s="341"/>
      <c r="J147" s="342"/>
      <c r="K147" s="269"/>
      <c r="L147" s="550"/>
    </row>
    <row r="148" spans="1:12" s="144" customFormat="1" ht="24.75" customHeight="1">
      <c r="A148" s="330" t="s">
        <v>266</v>
      </c>
      <c r="B148" s="331"/>
      <c r="C148" s="331"/>
      <c r="D148" s="331"/>
      <c r="E148" s="331"/>
      <c r="F148" s="331"/>
      <c r="G148" s="331"/>
      <c r="H148" s="331"/>
      <c r="I148" s="331"/>
      <c r="J148" s="332"/>
      <c r="K148" s="277"/>
      <c r="L148" s="547"/>
    </row>
    <row r="149" spans="1:12" s="145" customFormat="1" ht="27.75" customHeight="1" outlineLevel="1">
      <c r="A149" s="343">
        <v>1</v>
      </c>
      <c r="B149" s="163" t="s">
        <v>348</v>
      </c>
      <c r="C149" s="160" t="s">
        <v>231</v>
      </c>
      <c r="D149" s="158">
        <f>17138-15371</f>
        <v>1767</v>
      </c>
      <c r="E149" s="158">
        <f>11850-10654</f>
        <v>1196</v>
      </c>
      <c r="F149" s="157">
        <f>D149+E149</f>
        <v>2963</v>
      </c>
      <c r="G149" s="158">
        <v>17138</v>
      </c>
      <c r="H149" s="158">
        <v>11850</v>
      </c>
      <c r="I149" s="157">
        <f>G149+H149</f>
        <v>28988</v>
      </c>
      <c r="J149" s="160" t="s">
        <v>291</v>
      </c>
      <c r="K149" s="269"/>
      <c r="L149" s="550"/>
    </row>
    <row r="150" spans="1:12" s="145" customFormat="1" ht="19.5" customHeight="1" outlineLevel="1">
      <c r="A150" s="343"/>
      <c r="B150" s="167" t="s">
        <v>398</v>
      </c>
      <c r="C150" s="160" t="s">
        <v>231</v>
      </c>
      <c r="D150" s="158">
        <f>7349-6696</f>
        <v>653</v>
      </c>
      <c r="E150" s="158">
        <f>4624-4232</f>
        <v>392</v>
      </c>
      <c r="F150" s="157">
        <f aca="true" t="shared" si="0" ref="F150:F165">D150+E150</f>
        <v>1045</v>
      </c>
      <c r="G150" s="158">
        <v>7349</v>
      </c>
      <c r="H150" s="158">
        <v>4624</v>
      </c>
      <c r="I150" s="157">
        <f aca="true" t="shared" si="1" ref="I150:I165">G150+H150</f>
        <v>11973</v>
      </c>
      <c r="J150" s="160" t="s">
        <v>291</v>
      </c>
      <c r="K150" s="269"/>
      <c r="L150" s="550"/>
    </row>
    <row r="151" spans="1:12" s="145" customFormat="1" ht="19.5" customHeight="1" outlineLevel="1">
      <c r="A151" s="343"/>
      <c r="B151" s="167" t="s">
        <v>399</v>
      </c>
      <c r="C151" s="160" t="s">
        <v>231</v>
      </c>
      <c r="D151" s="158">
        <f>3014-2748</f>
        <v>266</v>
      </c>
      <c r="E151" s="158">
        <f>1914-1753</f>
        <v>161</v>
      </c>
      <c r="F151" s="157">
        <f t="shared" si="0"/>
        <v>427</v>
      </c>
      <c r="G151" s="158">
        <v>3014</v>
      </c>
      <c r="H151" s="158">
        <v>1914</v>
      </c>
      <c r="I151" s="157">
        <f t="shared" si="1"/>
        <v>4928</v>
      </c>
      <c r="J151" s="160" t="s">
        <v>291</v>
      </c>
      <c r="K151" s="269"/>
      <c r="L151" s="550"/>
    </row>
    <row r="152" spans="1:12" s="145" customFormat="1" ht="15.75" outlineLevel="1">
      <c r="A152" s="343"/>
      <c r="B152" s="167" t="s">
        <v>267</v>
      </c>
      <c r="C152" s="160" t="s">
        <v>231</v>
      </c>
      <c r="D152" s="158">
        <f>10136-8921</f>
        <v>1215</v>
      </c>
      <c r="E152" s="158">
        <f>6795-5979</f>
        <v>816</v>
      </c>
      <c r="F152" s="157">
        <f t="shared" si="0"/>
        <v>2031</v>
      </c>
      <c r="G152" s="158">
        <v>10136</v>
      </c>
      <c r="H152" s="158">
        <v>6795</v>
      </c>
      <c r="I152" s="157">
        <f t="shared" si="1"/>
        <v>16931</v>
      </c>
      <c r="J152" s="160" t="s">
        <v>291</v>
      </c>
      <c r="K152" s="269"/>
      <c r="L152" s="550"/>
    </row>
    <row r="153" spans="1:12" s="145" customFormat="1" ht="19.5" customHeight="1" outlineLevel="1">
      <c r="A153" s="343"/>
      <c r="B153" s="163" t="s">
        <v>268</v>
      </c>
      <c r="C153" s="160" t="s">
        <v>231</v>
      </c>
      <c r="D153" s="158">
        <f>1571-1315</f>
        <v>256</v>
      </c>
      <c r="E153" s="158">
        <f>878-753</f>
        <v>125</v>
      </c>
      <c r="F153" s="157">
        <f t="shared" si="0"/>
        <v>381</v>
      </c>
      <c r="G153" s="158">
        <v>1571</v>
      </c>
      <c r="H153" s="158">
        <v>878</v>
      </c>
      <c r="I153" s="157">
        <f t="shared" si="1"/>
        <v>2449</v>
      </c>
      <c r="J153" s="160" t="s">
        <v>291</v>
      </c>
      <c r="K153" s="269"/>
      <c r="L153" s="550"/>
    </row>
    <row r="154" spans="1:12" s="145" customFormat="1" ht="19.5" customHeight="1" outlineLevel="1">
      <c r="A154" s="343"/>
      <c r="B154" s="163" t="s">
        <v>269</v>
      </c>
      <c r="C154" s="160" t="s">
        <v>231</v>
      </c>
      <c r="D154" s="158">
        <f>5122-4436</f>
        <v>686</v>
      </c>
      <c r="E154" s="158">
        <f>2993-2549</f>
        <v>444</v>
      </c>
      <c r="F154" s="157">
        <f t="shared" si="0"/>
        <v>1130</v>
      </c>
      <c r="G154" s="158">
        <v>5122</v>
      </c>
      <c r="H154" s="158">
        <v>2993</v>
      </c>
      <c r="I154" s="157">
        <f t="shared" si="1"/>
        <v>8115</v>
      </c>
      <c r="J154" s="160" t="s">
        <v>291</v>
      </c>
      <c r="K154" s="269"/>
      <c r="L154" s="550"/>
    </row>
    <row r="155" spans="1:12" s="145" customFormat="1" ht="19.5" customHeight="1" outlineLevel="1">
      <c r="A155" s="343"/>
      <c r="B155" s="163" t="s">
        <v>270</v>
      </c>
      <c r="C155" s="160" t="s">
        <v>231</v>
      </c>
      <c r="D155" s="158">
        <f>6073-5422</f>
        <v>651</v>
      </c>
      <c r="E155" s="158">
        <f>4410-3996</f>
        <v>414</v>
      </c>
      <c r="F155" s="157">
        <f t="shared" si="0"/>
        <v>1065</v>
      </c>
      <c r="G155" s="158">
        <v>6073</v>
      </c>
      <c r="H155" s="158">
        <v>4410</v>
      </c>
      <c r="I155" s="157">
        <f t="shared" si="1"/>
        <v>10483</v>
      </c>
      <c r="J155" s="160" t="s">
        <v>291</v>
      </c>
      <c r="K155" s="269"/>
      <c r="L155" s="550"/>
    </row>
    <row r="156" spans="1:12" s="145" customFormat="1" ht="19.5" customHeight="1" outlineLevel="1">
      <c r="A156" s="343"/>
      <c r="B156" s="167" t="s">
        <v>400</v>
      </c>
      <c r="C156" s="160" t="s">
        <v>231</v>
      </c>
      <c r="D156" s="158">
        <f>2327-1744</f>
        <v>583</v>
      </c>
      <c r="E156" s="158">
        <f>2260-1734</f>
        <v>526</v>
      </c>
      <c r="F156" s="157">
        <f t="shared" si="0"/>
        <v>1109</v>
      </c>
      <c r="G156" s="158">
        <v>2327</v>
      </c>
      <c r="H156" s="158">
        <v>2260</v>
      </c>
      <c r="I156" s="157">
        <f t="shared" si="1"/>
        <v>4587</v>
      </c>
      <c r="J156" s="160" t="s">
        <v>291</v>
      </c>
      <c r="K156" s="269"/>
      <c r="L156" s="550"/>
    </row>
    <row r="157" spans="1:12" s="145" customFormat="1" ht="19.5" customHeight="1" outlineLevel="1">
      <c r="A157" s="343"/>
      <c r="B157" s="167" t="s">
        <v>401</v>
      </c>
      <c r="C157" s="160" t="s">
        <v>231</v>
      </c>
      <c r="D157" s="158">
        <f>8994-7282</f>
        <v>1712</v>
      </c>
      <c r="E157" s="158">
        <f>5969-4777</f>
        <v>1192</v>
      </c>
      <c r="F157" s="157">
        <f t="shared" si="0"/>
        <v>2904</v>
      </c>
      <c r="G157" s="158">
        <v>8994</v>
      </c>
      <c r="H157" s="158">
        <v>5969</v>
      </c>
      <c r="I157" s="157">
        <f t="shared" si="1"/>
        <v>14963</v>
      </c>
      <c r="J157" s="160" t="s">
        <v>291</v>
      </c>
      <c r="K157" s="269"/>
      <c r="L157" s="550"/>
    </row>
    <row r="158" spans="1:12" s="145" customFormat="1" ht="45" customHeight="1" outlineLevel="1">
      <c r="A158" s="271">
        <v>2</v>
      </c>
      <c r="B158" s="155" t="s">
        <v>402</v>
      </c>
      <c r="C158" s="156">
        <v>190</v>
      </c>
      <c r="D158" s="158">
        <f>385-340</f>
        <v>45</v>
      </c>
      <c r="E158" s="158">
        <f>23-21</f>
        <v>2</v>
      </c>
      <c r="F158" s="157">
        <f t="shared" si="0"/>
        <v>47</v>
      </c>
      <c r="G158" s="158">
        <v>385</v>
      </c>
      <c r="H158" s="158">
        <v>23</v>
      </c>
      <c r="I158" s="157">
        <f t="shared" si="1"/>
        <v>408</v>
      </c>
      <c r="J158" s="250">
        <f>I158/C158*100</f>
        <v>214.73684210526315</v>
      </c>
      <c r="K158" s="269"/>
      <c r="L158" s="550"/>
    </row>
    <row r="159" spans="1:12" s="145" customFormat="1" ht="19.5" customHeight="1" outlineLevel="1">
      <c r="A159" s="343">
        <v>3</v>
      </c>
      <c r="B159" s="155" t="s">
        <v>175</v>
      </c>
      <c r="C159" s="160" t="s">
        <v>231</v>
      </c>
      <c r="D159" s="158">
        <f>1794-1663</f>
        <v>131</v>
      </c>
      <c r="E159" s="158">
        <f>2572-2431</f>
        <v>141</v>
      </c>
      <c r="F159" s="157">
        <f t="shared" si="0"/>
        <v>272</v>
      </c>
      <c r="G159" s="158">
        <v>1794</v>
      </c>
      <c r="H159" s="158">
        <v>2572</v>
      </c>
      <c r="I159" s="157">
        <f t="shared" si="1"/>
        <v>4366</v>
      </c>
      <c r="J159" s="160" t="s">
        <v>291</v>
      </c>
      <c r="K159" s="269"/>
      <c r="L159" s="550"/>
    </row>
    <row r="160" spans="1:12" s="145" customFormat="1" ht="19.5" customHeight="1" outlineLevel="1">
      <c r="A160" s="343"/>
      <c r="B160" s="164" t="s">
        <v>398</v>
      </c>
      <c r="C160" s="160" t="s">
        <v>231</v>
      </c>
      <c r="D160" s="158">
        <f>418-384</f>
        <v>34</v>
      </c>
      <c r="E160" s="158">
        <f>557-530</f>
        <v>27</v>
      </c>
      <c r="F160" s="157">
        <f t="shared" si="0"/>
        <v>61</v>
      </c>
      <c r="G160" s="158">
        <v>418</v>
      </c>
      <c r="H160" s="158">
        <v>557</v>
      </c>
      <c r="I160" s="157">
        <f t="shared" si="1"/>
        <v>975</v>
      </c>
      <c r="J160" s="160" t="s">
        <v>291</v>
      </c>
      <c r="K160" s="269"/>
      <c r="L160" s="550"/>
    </row>
    <row r="161" spans="1:12" s="145" customFormat="1" ht="19.5" customHeight="1" outlineLevel="1">
      <c r="A161" s="343"/>
      <c r="B161" s="164" t="s">
        <v>267</v>
      </c>
      <c r="C161" s="160" t="s">
        <v>231</v>
      </c>
      <c r="D161" s="158">
        <f>1005-929</f>
        <v>76</v>
      </c>
      <c r="E161" s="158">
        <f>1484-1396</f>
        <v>88</v>
      </c>
      <c r="F161" s="157">
        <f t="shared" si="0"/>
        <v>164</v>
      </c>
      <c r="G161" s="158">
        <v>1005</v>
      </c>
      <c r="H161" s="158">
        <v>1484</v>
      </c>
      <c r="I161" s="157">
        <f t="shared" si="1"/>
        <v>2489</v>
      </c>
      <c r="J161" s="160" t="s">
        <v>291</v>
      </c>
      <c r="K161" s="269"/>
      <c r="L161" s="550"/>
    </row>
    <row r="162" spans="1:12" s="145" customFormat="1" ht="19.5" customHeight="1" outlineLevel="1">
      <c r="A162" s="343"/>
      <c r="B162" s="155" t="s">
        <v>268</v>
      </c>
      <c r="C162" s="160" t="s">
        <v>231</v>
      </c>
      <c r="D162" s="158">
        <f>64-59</f>
        <v>5</v>
      </c>
      <c r="E162" s="158">
        <f>72-65</f>
        <v>7</v>
      </c>
      <c r="F162" s="157">
        <f t="shared" si="0"/>
        <v>12</v>
      </c>
      <c r="G162" s="158">
        <v>64</v>
      </c>
      <c r="H162" s="158">
        <v>72</v>
      </c>
      <c r="I162" s="157">
        <f t="shared" si="1"/>
        <v>136</v>
      </c>
      <c r="J162" s="160" t="s">
        <v>291</v>
      </c>
      <c r="K162" s="269"/>
      <c r="L162" s="550"/>
    </row>
    <row r="163" spans="1:12" s="145" customFormat="1" ht="19.5" customHeight="1" outlineLevel="1">
      <c r="A163" s="343"/>
      <c r="B163" s="155" t="s">
        <v>269</v>
      </c>
      <c r="C163" s="160" t="s">
        <v>231</v>
      </c>
      <c r="D163" s="158">
        <f>511-482</f>
        <v>29</v>
      </c>
      <c r="E163" s="158">
        <f>742-701</f>
        <v>41</v>
      </c>
      <c r="F163" s="157">
        <f t="shared" si="0"/>
        <v>70</v>
      </c>
      <c r="G163" s="158">
        <v>511</v>
      </c>
      <c r="H163" s="158">
        <v>742</v>
      </c>
      <c r="I163" s="157">
        <f t="shared" si="1"/>
        <v>1253</v>
      </c>
      <c r="J163" s="160" t="s">
        <v>291</v>
      </c>
      <c r="K163" s="269"/>
      <c r="L163" s="550"/>
    </row>
    <row r="164" spans="1:12" s="145" customFormat="1" ht="19.5" customHeight="1" outlineLevel="1">
      <c r="A164" s="343"/>
      <c r="B164" s="155" t="s">
        <v>271</v>
      </c>
      <c r="C164" s="160" t="s">
        <v>231</v>
      </c>
      <c r="D164" s="158">
        <f>648-589</f>
        <v>59</v>
      </c>
      <c r="E164" s="158">
        <f>985-930</f>
        <v>55</v>
      </c>
      <c r="F164" s="157">
        <f t="shared" si="0"/>
        <v>114</v>
      </c>
      <c r="G164" s="158">
        <v>648</v>
      </c>
      <c r="H164" s="158">
        <v>985</v>
      </c>
      <c r="I164" s="157">
        <f t="shared" si="1"/>
        <v>1633</v>
      </c>
      <c r="J164" s="160" t="s">
        <v>291</v>
      </c>
      <c r="K164" s="269"/>
      <c r="L164" s="550"/>
    </row>
    <row r="165" spans="1:12" s="145" customFormat="1" ht="19.5" customHeight="1" outlineLevel="1">
      <c r="A165" s="343"/>
      <c r="B165" s="164" t="s">
        <v>400</v>
      </c>
      <c r="C165" s="160" t="s">
        <v>231</v>
      </c>
      <c r="D165" s="158">
        <f>131-114</f>
        <v>17</v>
      </c>
      <c r="E165" s="158">
        <f>298-277</f>
        <v>21</v>
      </c>
      <c r="F165" s="157">
        <f t="shared" si="0"/>
        <v>38</v>
      </c>
      <c r="G165" s="158">
        <v>131</v>
      </c>
      <c r="H165" s="158">
        <v>298</v>
      </c>
      <c r="I165" s="157">
        <f t="shared" si="1"/>
        <v>429</v>
      </c>
      <c r="J165" s="160" t="s">
        <v>291</v>
      </c>
      <c r="K165" s="269"/>
      <c r="L165" s="550"/>
    </row>
    <row r="166" spans="1:12" s="145" customFormat="1" ht="30" customHeight="1" outlineLevel="1">
      <c r="A166" s="343">
        <v>4</v>
      </c>
      <c r="B166" s="163" t="s">
        <v>373</v>
      </c>
      <c r="C166" s="160" t="s">
        <v>231</v>
      </c>
      <c r="D166" s="162" t="s">
        <v>291</v>
      </c>
      <c r="E166" s="162" t="s">
        <v>291</v>
      </c>
      <c r="F166" s="157">
        <f>4590-4316</f>
        <v>274</v>
      </c>
      <c r="G166" s="162" t="s">
        <v>291</v>
      </c>
      <c r="H166" s="162" t="s">
        <v>291</v>
      </c>
      <c r="I166" s="157">
        <v>4590</v>
      </c>
      <c r="J166" s="160" t="s">
        <v>291</v>
      </c>
      <c r="K166" s="269"/>
      <c r="L166" s="550"/>
    </row>
    <row r="167" spans="1:12" s="145" customFormat="1" ht="19.5" customHeight="1" outlineLevel="1">
      <c r="A167" s="343"/>
      <c r="B167" s="167" t="s">
        <v>403</v>
      </c>
      <c r="C167" s="160" t="s">
        <v>231</v>
      </c>
      <c r="D167" s="162" t="s">
        <v>291</v>
      </c>
      <c r="E167" s="162" t="s">
        <v>291</v>
      </c>
      <c r="F167" s="157">
        <f>993-932</f>
        <v>61</v>
      </c>
      <c r="G167" s="162" t="s">
        <v>291</v>
      </c>
      <c r="H167" s="162" t="s">
        <v>291</v>
      </c>
      <c r="I167" s="157">
        <v>993</v>
      </c>
      <c r="J167" s="160" t="s">
        <v>291</v>
      </c>
      <c r="K167" s="269"/>
      <c r="L167" s="550"/>
    </row>
    <row r="168" spans="1:12" s="145" customFormat="1" ht="30" customHeight="1" outlineLevel="1">
      <c r="A168" s="343"/>
      <c r="B168" s="167" t="s">
        <v>272</v>
      </c>
      <c r="C168" s="160" t="s">
        <v>231</v>
      </c>
      <c r="D168" s="162" t="s">
        <v>291</v>
      </c>
      <c r="E168" s="162" t="s">
        <v>291</v>
      </c>
      <c r="F168" s="157">
        <f>2630-2465</f>
        <v>165</v>
      </c>
      <c r="G168" s="162" t="s">
        <v>291</v>
      </c>
      <c r="H168" s="162" t="s">
        <v>291</v>
      </c>
      <c r="I168" s="157">
        <v>2630</v>
      </c>
      <c r="J168" s="160" t="s">
        <v>291</v>
      </c>
      <c r="K168" s="269"/>
      <c r="L168" s="550"/>
    </row>
    <row r="169" spans="1:12" s="145" customFormat="1" ht="19.5" customHeight="1" outlineLevel="1">
      <c r="A169" s="343"/>
      <c r="B169" s="155" t="s">
        <v>273</v>
      </c>
      <c r="C169" s="160" t="s">
        <v>231</v>
      </c>
      <c r="D169" s="162" t="s">
        <v>291</v>
      </c>
      <c r="E169" s="162" t="s">
        <v>291</v>
      </c>
      <c r="F169" s="157">
        <f>147-135</f>
        <v>12</v>
      </c>
      <c r="G169" s="162" t="s">
        <v>291</v>
      </c>
      <c r="H169" s="162" t="s">
        <v>291</v>
      </c>
      <c r="I169" s="157">
        <v>147</v>
      </c>
      <c r="J169" s="160" t="s">
        <v>291</v>
      </c>
      <c r="K169" s="269"/>
      <c r="L169" s="550"/>
    </row>
    <row r="170" spans="1:12" s="145" customFormat="1" ht="19.5" customHeight="1" outlineLevel="1">
      <c r="A170" s="343"/>
      <c r="B170" s="163" t="s">
        <v>274</v>
      </c>
      <c r="C170" s="160" t="s">
        <v>231</v>
      </c>
      <c r="D170" s="162" t="s">
        <v>291</v>
      </c>
      <c r="E170" s="162" t="s">
        <v>291</v>
      </c>
      <c r="F170" s="157">
        <f>1353-1283</f>
        <v>70</v>
      </c>
      <c r="G170" s="162" t="s">
        <v>291</v>
      </c>
      <c r="H170" s="162" t="s">
        <v>291</v>
      </c>
      <c r="I170" s="157">
        <v>1353</v>
      </c>
      <c r="J170" s="160" t="s">
        <v>291</v>
      </c>
      <c r="K170" s="269"/>
      <c r="L170" s="550"/>
    </row>
    <row r="171" spans="1:12" s="145" customFormat="1" ht="19.5" customHeight="1" outlineLevel="1">
      <c r="A171" s="343"/>
      <c r="B171" s="170" t="s">
        <v>275</v>
      </c>
      <c r="C171" s="160" t="s">
        <v>231</v>
      </c>
      <c r="D171" s="162" t="s">
        <v>291</v>
      </c>
      <c r="E171" s="162" t="s">
        <v>291</v>
      </c>
      <c r="F171" s="157">
        <f>1708-1594</f>
        <v>114</v>
      </c>
      <c r="G171" s="162" t="s">
        <v>291</v>
      </c>
      <c r="H171" s="162" t="s">
        <v>291</v>
      </c>
      <c r="I171" s="157">
        <v>1708</v>
      </c>
      <c r="J171" s="160" t="s">
        <v>291</v>
      </c>
      <c r="K171" s="269"/>
      <c r="L171" s="550"/>
    </row>
    <row r="172" spans="1:12" s="145" customFormat="1" ht="19.5" customHeight="1" outlineLevel="1">
      <c r="A172" s="343"/>
      <c r="B172" s="175" t="s">
        <v>404</v>
      </c>
      <c r="C172" s="160" t="s">
        <v>231</v>
      </c>
      <c r="D172" s="162" t="s">
        <v>291</v>
      </c>
      <c r="E172" s="162" t="s">
        <v>291</v>
      </c>
      <c r="F172" s="157">
        <f>445-407</f>
        <v>38</v>
      </c>
      <c r="G172" s="162" t="s">
        <v>291</v>
      </c>
      <c r="H172" s="162" t="s">
        <v>291</v>
      </c>
      <c r="I172" s="157">
        <v>445</v>
      </c>
      <c r="J172" s="160" t="s">
        <v>291</v>
      </c>
      <c r="K172" s="269"/>
      <c r="L172" s="550"/>
    </row>
    <row r="173" spans="1:12" s="145" customFormat="1" ht="19.5" customHeight="1" outlineLevel="1">
      <c r="A173" s="270" t="s">
        <v>300</v>
      </c>
      <c r="B173" s="155" t="s">
        <v>297</v>
      </c>
      <c r="C173" s="160" t="s">
        <v>231</v>
      </c>
      <c r="D173" s="162" t="s">
        <v>291</v>
      </c>
      <c r="E173" s="162" t="s">
        <v>291</v>
      </c>
      <c r="F173" s="162" t="s">
        <v>291</v>
      </c>
      <c r="G173" s="162" t="s">
        <v>291</v>
      </c>
      <c r="H173" s="162" t="s">
        <v>291</v>
      </c>
      <c r="I173" s="162" t="s">
        <v>291</v>
      </c>
      <c r="J173" s="162" t="s">
        <v>291</v>
      </c>
      <c r="K173" s="269"/>
      <c r="L173" s="550"/>
    </row>
    <row r="174" spans="1:12" s="144" customFormat="1" ht="24.75" customHeight="1">
      <c r="A174" s="330" t="s">
        <v>276</v>
      </c>
      <c r="B174" s="331"/>
      <c r="C174" s="331"/>
      <c r="D174" s="331"/>
      <c r="E174" s="331"/>
      <c r="F174" s="331"/>
      <c r="G174" s="331"/>
      <c r="H174" s="331"/>
      <c r="I174" s="331"/>
      <c r="J174" s="332"/>
      <c r="K174" s="277"/>
      <c r="L174" s="547"/>
    </row>
    <row r="175" spans="1:12" s="145" customFormat="1" ht="15.75" outlineLevel="1">
      <c r="A175" s="343">
        <v>1</v>
      </c>
      <c r="B175" s="163" t="s">
        <v>348</v>
      </c>
      <c r="C175" s="160" t="s">
        <v>231</v>
      </c>
      <c r="D175" s="158">
        <f>438-404</f>
        <v>34</v>
      </c>
      <c r="E175" s="158">
        <f>429-411</f>
        <v>18</v>
      </c>
      <c r="F175" s="157">
        <f>D175+E175</f>
        <v>52</v>
      </c>
      <c r="G175" s="158">
        <v>438</v>
      </c>
      <c r="H175" s="158">
        <v>429</v>
      </c>
      <c r="I175" s="157">
        <f>G175+H175</f>
        <v>867</v>
      </c>
      <c r="J175" s="160" t="s">
        <v>291</v>
      </c>
      <c r="K175" s="269"/>
      <c r="L175" s="550"/>
    </row>
    <row r="176" spans="1:12" s="145" customFormat="1" ht="19.5" customHeight="1" outlineLevel="1">
      <c r="A176" s="343"/>
      <c r="B176" s="167" t="s">
        <v>398</v>
      </c>
      <c r="C176" s="160" t="s">
        <v>231</v>
      </c>
      <c r="D176" s="158">
        <f>68-62</f>
        <v>6</v>
      </c>
      <c r="E176" s="158">
        <f>95-91</f>
        <v>4</v>
      </c>
      <c r="F176" s="157">
        <f aca="true" t="shared" si="2" ref="F176:F193">D176+E176</f>
        <v>10</v>
      </c>
      <c r="G176" s="158">
        <v>68</v>
      </c>
      <c r="H176" s="158">
        <v>95</v>
      </c>
      <c r="I176" s="157">
        <f aca="true" t="shared" si="3" ref="I176:I193">G176+H176</f>
        <v>163</v>
      </c>
      <c r="J176" s="160" t="s">
        <v>291</v>
      </c>
      <c r="K176" s="269"/>
      <c r="L176" s="550"/>
    </row>
    <row r="177" spans="1:12" s="145" customFormat="1" ht="19.5" customHeight="1" outlineLevel="1">
      <c r="A177" s="343"/>
      <c r="B177" s="167" t="s">
        <v>399</v>
      </c>
      <c r="C177" s="160" t="s">
        <v>231</v>
      </c>
      <c r="D177" s="158">
        <f>31-27</f>
        <v>4</v>
      </c>
      <c r="E177" s="158">
        <f>45-41</f>
        <v>4</v>
      </c>
      <c r="F177" s="157">
        <f t="shared" si="2"/>
        <v>8</v>
      </c>
      <c r="G177" s="158">
        <v>31</v>
      </c>
      <c r="H177" s="158">
        <v>45</v>
      </c>
      <c r="I177" s="157">
        <f t="shared" si="3"/>
        <v>76</v>
      </c>
      <c r="J177" s="160" t="s">
        <v>291</v>
      </c>
      <c r="K177" s="269"/>
      <c r="L177" s="550"/>
    </row>
    <row r="178" spans="1:12" s="145" customFormat="1" ht="15.75" outlineLevel="1">
      <c r="A178" s="343"/>
      <c r="B178" s="167" t="s">
        <v>267</v>
      </c>
      <c r="C178" s="160" t="s">
        <v>231</v>
      </c>
      <c r="D178" s="158">
        <f>265-238</f>
        <v>27</v>
      </c>
      <c r="E178" s="158">
        <f>246-230</f>
        <v>16</v>
      </c>
      <c r="F178" s="157">
        <f t="shared" si="2"/>
        <v>43</v>
      </c>
      <c r="G178" s="158">
        <v>265</v>
      </c>
      <c r="H178" s="158">
        <v>246</v>
      </c>
      <c r="I178" s="157">
        <f t="shared" si="3"/>
        <v>511</v>
      </c>
      <c r="J178" s="160" t="s">
        <v>291</v>
      </c>
      <c r="K178" s="269"/>
      <c r="L178" s="550"/>
    </row>
    <row r="179" spans="1:12" s="145" customFormat="1" ht="19.5" customHeight="1" outlineLevel="1">
      <c r="A179" s="343"/>
      <c r="B179" s="163" t="s">
        <v>268</v>
      </c>
      <c r="C179" s="160" t="s">
        <v>231</v>
      </c>
      <c r="D179" s="158">
        <f>43-39</f>
        <v>4</v>
      </c>
      <c r="E179" s="158">
        <f>43-38</f>
        <v>5</v>
      </c>
      <c r="F179" s="157">
        <f t="shared" si="2"/>
        <v>9</v>
      </c>
      <c r="G179" s="158">
        <v>43</v>
      </c>
      <c r="H179" s="158">
        <v>43</v>
      </c>
      <c r="I179" s="157">
        <f t="shared" si="3"/>
        <v>86</v>
      </c>
      <c r="J179" s="160" t="s">
        <v>291</v>
      </c>
      <c r="K179" s="269"/>
      <c r="L179" s="550"/>
    </row>
    <row r="180" spans="1:12" s="145" customFormat="1" ht="19.5" customHeight="1" outlineLevel="1">
      <c r="A180" s="343"/>
      <c r="B180" s="163" t="s">
        <v>269</v>
      </c>
      <c r="C180" s="160" t="s">
        <v>231</v>
      </c>
      <c r="D180" s="158">
        <f>86-80</f>
        <v>6</v>
      </c>
      <c r="E180" s="158">
        <f>81-76</f>
        <v>5</v>
      </c>
      <c r="F180" s="157">
        <f t="shared" si="2"/>
        <v>11</v>
      </c>
      <c r="G180" s="158">
        <v>86</v>
      </c>
      <c r="H180" s="158">
        <v>81</v>
      </c>
      <c r="I180" s="157">
        <f t="shared" si="3"/>
        <v>167</v>
      </c>
      <c r="J180" s="160" t="s">
        <v>291</v>
      </c>
      <c r="K180" s="269"/>
      <c r="L180" s="550"/>
    </row>
    <row r="181" spans="1:12" s="145" customFormat="1" ht="19.5" customHeight="1" outlineLevel="1">
      <c r="A181" s="343"/>
      <c r="B181" s="163" t="s">
        <v>270</v>
      </c>
      <c r="C181" s="160" t="s">
        <v>231</v>
      </c>
      <c r="D181" s="158">
        <f>196-178</f>
        <v>18</v>
      </c>
      <c r="E181" s="158">
        <f>183-169</f>
        <v>14</v>
      </c>
      <c r="F181" s="157">
        <f t="shared" si="2"/>
        <v>32</v>
      </c>
      <c r="G181" s="158">
        <v>196</v>
      </c>
      <c r="H181" s="289">
        <v>183</v>
      </c>
      <c r="I181" s="157">
        <f t="shared" si="3"/>
        <v>379</v>
      </c>
      <c r="J181" s="160" t="s">
        <v>291</v>
      </c>
      <c r="K181" s="269"/>
      <c r="L181" s="550"/>
    </row>
    <row r="182" spans="1:12" s="145" customFormat="1" ht="19.5" customHeight="1" outlineLevel="1">
      <c r="A182" s="343"/>
      <c r="B182" s="167" t="s">
        <v>400</v>
      </c>
      <c r="C182" s="160" t="s">
        <v>231</v>
      </c>
      <c r="D182" s="158">
        <f>42-40</f>
        <v>2</v>
      </c>
      <c r="E182" s="158">
        <f>66-61</f>
        <v>5</v>
      </c>
      <c r="F182" s="157">
        <f t="shared" si="2"/>
        <v>7</v>
      </c>
      <c r="G182" s="158">
        <v>42</v>
      </c>
      <c r="H182" s="158">
        <v>66</v>
      </c>
      <c r="I182" s="157">
        <f t="shared" si="3"/>
        <v>108</v>
      </c>
      <c r="J182" s="160" t="s">
        <v>291</v>
      </c>
      <c r="K182" s="269"/>
      <c r="L182" s="550"/>
    </row>
    <row r="183" spans="1:12" s="145" customFormat="1" ht="23.25" customHeight="1" outlineLevel="1">
      <c r="A183" s="343"/>
      <c r="B183" s="167" t="s">
        <v>401</v>
      </c>
      <c r="C183" s="160" t="s">
        <v>231</v>
      </c>
      <c r="D183" s="158">
        <f>G183-212</f>
        <v>0</v>
      </c>
      <c r="E183" s="158">
        <f>H183-238</f>
        <v>0</v>
      </c>
      <c r="F183" s="157">
        <f t="shared" si="2"/>
        <v>0</v>
      </c>
      <c r="G183" s="158">
        <v>212</v>
      </c>
      <c r="H183" s="158">
        <v>238</v>
      </c>
      <c r="I183" s="157">
        <f t="shared" si="3"/>
        <v>450</v>
      </c>
      <c r="J183" s="160" t="s">
        <v>291</v>
      </c>
      <c r="K183" s="269"/>
      <c r="L183" s="550"/>
    </row>
    <row r="184" spans="1:12" s="145" customFormat="1" ht="19.5" customHeight="1" outlineLevel="1">
      <c r="A184" s="344">
        <v>2</v>
      </c>
      <c r="B184" s="155" t="s">
        <v>175</v>
      </c>
      <c r="C184" s="160" t="s">
        <v>231</v>
      </c>
      <c r="D184" s="156">
        <v>0</v>
      </c>
      <c r="E184" s="156">
        <v>0</v>
      </c>
      <c r="F184" s="157">
        <f t="shared" si="2"/>
        <v>0</v>
      </c>
      <c r="G184" s="156">
        <v>296</v>
      </c>
      <c r="H184" s="156">
        <v>300</v>
      </c>
      <c r="I184" s="157">
        <f t="shared" si="3"/>
        <v>596</v>
      </c>
      <c r="J184" s="160" t="s">
        <v>291</v>
      </c>
      <c r="K184" s="269"/>
      <c r="L184" s="550"/>
    </row>
    <row r="185" spans="1:12" s="145" customFormat="1" ht="22.5" customHeight="1" outlineLevel="1">
      <c r="A185" s="344"/>
      <c r="B185" s="164" t="s">
        <v>398</v>
      </c>
      <c r="C185" s="160" t="s">
        <v>231</v>
      </c>
      <c r="D185" s="156">
        <v>0</v>
      </c>
      <c r="E185" s="156">
        <v>0</v>
      </c>
      <c r="F185" s="157">
        <f t="shared" si="2"/>
        <v>0</v>
      </c>
      <c r="G185" s="156">
        <v>36</v>
      </c>
      <c r="H185" s="156">
        <v>58</v>
      </c>
      <c r="I185" s="157">
        <f t="shared" si="3"/>
        <v>94</v>
      </c>
      <c r="J185" s="160" t="s">
        <v>291</v>
      </c>
      <c r="K185" s="269"/>
      <c r="L185" s="550"/>
    </row>
    <row r="186" spans="1:12" s="145" customFormat="1" ht="15.75" outlineLevel="1">
      <c r="A186" s="344"/>
      <c r="B186" s="164" t="s">
        <v>267</v>
      </c>
      <c r="C186" s="160" t="s">
        <v>231</v>
      </c>
      <c r="D186" s="156">
        <v>0</v>
      </c>
      <c r="E186" s="156">
        <v>0</v>
      </c>
      <c r="F186" s="157">
        <f t="shared" si="2"/>
        <v>0</v>
      </c>
      <c r="G186" s="156">
        <v>173</v>
      </c>
      <c r="H186" s="156">
        <v>163</v>
      </c>
      <c r="I186" s="157">
        <f t="shared" si="3"/>
        <v>336</v>
      </c>
      <c r="J186" s="160" t="s">
        <v>291</v>
      </c>
      <c r="K186" s="269"/>
      <c r="L186" s="550"/>
    </row>
    <row r="187" spans="1:12" s="145" customFormat="1" ht="19.5" customHeight="1" outlineLevel="1">
      <c r="A187" s="344"/>
      <c r="B187" s="155" t="s">
        <v>268</v>
      </c>
      <c r="C187" s="160" t="s">
        <v>231</v>
      </c>
      <c r="D187" s="156">
        <v>0</v>
      </c>
      <c r="E187" s="156">
        <v>0</v>
      </c>
      <c r="F187" s="157">
        <f t="shared" si="2"/>
        <v>0</v>
      </c>
      <c r="G187" s="156">
        <v>21</v>
      </c>
      <c r="H187" s="156">
        <v>21</v>
      </c>
      <c r="I187" s="157">
        <f t="shared" si="3"/>
        <v>42</v>
      </c>
      <c r="J187" s="160" t="s">
        <v>291</v>
      </c>
      <c r="K187" s="269"/>
      <c r="L187" s="550"/>
    </row>
    <row r="188" spans="1:12" s="145" customFormat="1" ht="19.5" customHeight="1" outlineLevel="1">
      <c r="A188" s="344"/>
      <c r="B188" s="155" t="s">
        <v>269</v>
      </c>
      <c r="C188" s="160" t="s">
        <v>231</v>
      </c>
      <c r="D188" s="156">
        <v>0</v>
      </c>
      <c r="E188" s="156">
        <v>0</v>
      </c>
      <c r="F188" s="157">
        <f t="shared" si="2"/>
        <v>0</v>
      </c>
      <c r="G188" s="156">
        <v>51</v>
      </c>
      <c r="H188" s="156">
        <v>57</v>
      </c>
      <c r="I188" s="157">
        <f t="shared" si="3"/>
        <v>108</v>
      </c>
      <c r="J188" s="160" t="s">
        <v>291</v>
      </c>
      <c r="K188" s="269"/>
      <c r="L188" s="550"/>
    </row>
    <row r="189" spans="1:12" s="145" customFormat="1" ht="19.5" customHeight="1" outlineLevel="1">
      <c r="A189" s="344"/>
      <c r="B189" s="155" t="s">
        <v>271</v>
      </c>
      <c r="C189" s="160" t="s">
        <v>231</v>
      </c>
      <c r="D189" s="156">
        <v>0</v>
      </c>
      <c r="E189" s="156">
        <v>0</v>
      </c>
      <c r="F189" s="157">
        <f t="shared" si="2"/>
        <v>0</v>
      </c>
      <c r="G189" s="156">
        <v>124</v>
      </c>
      <c r="H189" s="156">
        <v>122</v>
      </c>
      <c r="I189" s="157">
        <f t="shared" si="3"/>
        <v>246</v>
      </c>
      <c r="J189" s="160" t="s">
        <v>291</v>
      </c>
      <c r="K189" s="269"/>
      <c r="L189" s="550"/>
    </row>
    <row r="190" spans="1:12" s="145" customFormat="1" ht="19.5" customHeight="1" outlineLevel="1">
      <c r="A190" s="344"/>
      <c r="B190" s="164" t="s">
        <v>400</v>
      </c>
      <c r="C190" s="160" t="s">
        <v>231</v>
      </c>
      <c r="D190" s="156">
        <v>0</v>
      </c>
      <c r="E190" s="156">
        <v>0</v>
      </c>
      <c r="F190" s="157">
        <f t="shared" si="2"/>
        <v>0</v>
      </c>
      <c r="G190" s="156">
        <v>27</v>
      </c>
      <c r="H190" s="156">
        <v>39</v>
      </c>
      <c r="I190" s="157">
        <f t="shared" si="3"/>
        <v>66</v>
      </c>
      <c r="J190" s="160" t="s">
        <v>291</v>
      </c>
      <c r="K190" s="269"/>
      <c r="L190" s="550"/>
    </row>
    <row r="191" spans="1:12" s="145" customFormat="1" ht="19.5" customHeight="1" outlineLevel="1">
      <c r="A191" s="333">
        <v>3</v>
      </c>
      <c r="B191" s="155" t="s">
        <v>143</v>
      </c>
      <c r="C191" s="160">
        <v>47</v>
      </c>
      <c r="D191" s="156">
        <v>10</v>
      </c>
      <c r="E191" s="156">
        <v>4</v>
      </c>
      <c r="F191" s="157">
        <f t="shared" si="2"/>
        <v>14</v>
      </c>
      <c r="G191" s="156">
        <v>10</v>
      </c>
      <c r="H191" s="156">
        <v>4</v>
      </c>
      <c r="I191" s="157">
        <f t="shared" si="3"/>
        <v>14</v>
      </c>
      <c r="J191" s="321">
        <f>I191/C191*100</f>
        <v>29.78723404255319</v>
      </c>
      <c r="K191" s="269"/>
      <c r="L191" s="550"/>
    </row>
    <row r="192" spans="1:12" s="145" customFormat="1" ht="19.5" customHeight="1" outlineLevel="1">
      <c r="A192" s="344"/>
      <c r="B192" s="167" t="s">
        <v>39</v>
      </c>
      <c r="C192" s="190" t="s">
        <v>231</v>
      </c>
      <c r="D192" s="166">
        <v>0</v>
      </c>
      <c r="E192" s="166">
        <v>0</v>
      </c>
      <c r="F192" s="157">
        <f t="shared" si="2"/>
        <v>0</v>
      </c>
      <c r="G192" s="166">
        <v>0</v>
      </c>
      <c r="H192" s="166">
        <v>0</v>
      </c>
      <c r="I192" s="157">
        <f t="shared" si="3"/>
        <v>0</v>
      </c>
      <c r="J192" s="190" t="s">
        <v>291</v>
      </c>
      <c r="K192" s="269"/>
      <c r="L192" s="550"/>
    </row>
    <row r="193" spans="1:12" s="145" customFormat="1" ht="19.5" customHeight="1" outlineLevel="1">
      <c r="A193" s="345"/>
      <c r="B193" s="167" t="s">
        <v>400</v>
      </c>
      <c r="C193" s="190" t="s">
        <v>231</v>
      </c>
      <c r="D193" s="166">
        <v>2</v>
      </c>
      <c r="E193" s="166">
        <v>0</v>
      </c>
      <c r="F193" s="157">
        <f t="shared" si="2"/>
        <v>2</v>
      </c>
      <c r="G193" s="166">
        <v>2</v>
      </c>
      <c r="H193" s="166">
        <v>0</v>
      </c>
      <c r="I193" s="157">
        <f t="shared" si="3"/>
        <v>2</v>
      </c>
      <c r="J193" s="190" t="s">
        <v>291</v>
      </c>
      <c r="K193" s="269"/>
      <c r="L193" s="550"/>
    </row>
    <row r="194" spans="1:12" s="145" customFormat="1" ht="30" customHeight="1" outlineLevel="1">
      <c r="A194" s="343">
        <v>4</v>
      </c>
      <c r="B194" s="163" t="s">
        <v>373</v>
      </c>
      <c r="C194" s="160" t="s">
        <v>231</v>
      </c>
      <c r="D194" s="162" t="s">
        <v>291</v>
      </c>
      <c r="E194" s="162" t="s">
        <v>291</v>
      </c>
      <c r="F194" s="188">
        <v>41</v>
      </c>
      <c r="G194" s="162" t="s">
        <v>291</v>
      </c>
      <c r="H194" s="162" t="s">
        <v>291</v>
      </c>
      <c r="I194" s="188">
        <v>677</v>
      </c>
      <c r="J194" s="160" t="s">
        <v>291</v>
      </c>
      <c r="K194" s="269"/>
      <c r="L194" s="550"/>
    </row>
    <row r="195" spans="1:12" s="145" customFormat="1" ht="21.75" customHeight="1" outlineLevel="1">
      <c r="A195" s="343"/>
      <c r="B195" s="167" t="s">
        <v>403</v>
      </c>
      <c r="C195" s="160" t="s">
        <v>231</v>
      </c>
      <c r="D195" s="162" t="s">
        <v>291</v>
      </c>
      <c r="E195" s="162" t="s">
        <v>291</v>
      </c>
      <c r="F195" s="188">
        <f>112-103</f>
        <v>9</v>
      </c>
      <c r="G195" s="162" t="s">
        <v>291</v>
      </c>
      <c r="H195" s="162" t="s">
        <v>291</v>
      </c>
      <c r="I195" s="188">
        <v>112</v>
      </c>
      <c r="J195" s="160" t="s">
        <v>291</v>
      </c>
      <c r="K195" s="269"/>
      <c r="L195" s="550"/>
    </row>
    <row r="196" spans="1:12" s="145" customFormat="1" ht="30" customHeight="1" outlineLevel="1">
      <c r="A196" s="343"/>
      <c r="B196" s="167" t="s">
        <v>272</v>
      </c>
      <c r="C196" s="160" t="s">
        <v>231</v>
      </c>
      <c r="D196" s="162" t="s">
        <v>291</v>
      </c>
      <c r="E196" s="162" t="s">
        <v>291</v>
      </c>
      <c r="F196" s="188">
        <f>391-361</f>
        <v>30</v>
      </c>
      <c r="G196" s="162" t="s">
        <v>291</v>
      </c>
      <c r="H196" s="162" t="s">
        <v>291</v>
      </c>
      <c r="I196" s="188">
        <v>391</v>
      </c>
      <c r="J196" s="160" t="s">
        <v>291</v>
      </c>
      <c r="K196" s="269"/>
      <c r="L196" s="550"/>
    </row>
    <row r="197" spans="1:12" s="145" customFormat="1" ht="24.75" customHeight="1" outlineLevel="1">
      <c r="A197" s="343"/>
      <c r="B197" s="155" t="s">
        <v>273</v>
      </c>
      <c r="C197" s="160" t="s">
        <v>231</v>
      </c>
      <c r="D197" s="162" t="s">
        <v>291</v>
      </c>
      <c r="E197" s="162" t="s">
        <v>291</v>
      </c>
      <c r="F197" s="188">
        <f>49-43</f>
        <v>6</v>
      </c>
      <c r="G197" s="162" t="s">
        <v>291</v>
      </c>
      <c r="H197" s="162" t="s">
        <v>291</v>
      </c>
      <c r="I197" s="188">
        <v>49</v>
      </c>
      <c r="J197" s="160" t="s">
        <v>291</v>
      </c>
      <c r="K197" s="269"/>
      <c r="L197" s="550"/>
    </row>
    <row r="198" spans="1:12" s="145" customFormat="1" ht="24.75" customHeight="1" outlineLevel="1">
      <c r="A198" s="343"/>
      <c r="B198" s="163" t="s">
        <v>274</v>
      </c>
      <c r="C198" s="160" t="s">
        <v>231</v>
      </c>
      <c r="D198" s="162" t="s">
        <v>291</v>
      </c>
      <c r="E198" s="162" t="s">
        <v>291</v>
      </c>
      <c r="F198" s="188">
        <f>115-111</f>
        <v>4</v>
      </c>
      <c r="G198" s="162" t="s">
        <v>291</v>
      </c>
      <c r="H198" s="162" t="s">
        <v>291</v>
      </c>
      <c r="I198" s="188">
        <v>115</v>
      </c>
      <c r="J198" s="160" t="s">
        <v>291</v>
      </c>
      <c r="K198" s="269"/>
      <c r="L198" s="550"/>
    </row>
    <row r="199" spans="1:12" s="145" customFormat="1" ht="24.75" customHeight="1" outlineLevel="1">
      <c r="A199" s="343"/>
      <c r="B199" s="170" t="s">
        <v>277</v>
      </c>
      <c r="C199" s="160" t="s">
        <v>231</v>
      </c>
      <c r="D199" s="162" t="s">
        <v>291</v>
      </c>
      <c r="E199" s="162" t="s">
        <v>291</v>
      </c>
      <c r="F199" s="188">
        <f>294-268</f>
        <v>26</v>
      </c>
      <c r="G199" s="162" t="s">
        <v>291</v>
      </c>
      <c r="H199" s="162" t="s">
        <v>291</v>
      </c>
      <c r="I199" s="188">
        <v>294</v>
      </c>
      <c r="J199" s="160" t="s">
        <v>291</v>
      </c>
      <c r="K199" s="269"/>
      <c r="L199" s="550"/>
    </row>
    <row r="200" spans="1:12" s="145" customFormat="1" ht="24.75" customHeight="1" outlineLevel="1">
      <c r="A200" s="343"/>
      <c r="B200" s="175" t="s">
        <v>404</v>
      </c>
      <c r="C200" s="160" t="s">
        <v>231</v>
      </c>
      <c r="D200" s="162" t="s">
        <v>291</v>
      </c>
      <c r="E200" s="162" t="s">
        <v>291</v>
      </c>
      <c r="F200" s="188">
        <f>73-68</f>
        <v>5</v>
      </c>
      <c r="G200" s="162" t="s">
        <v>291</v>
      </c>
      <c r="H200" s="162" t="s">
        <v>291</v>
      </c>
      <c r="I200" s="188">
        <v>73</v>
      </c>
      <c r="J200" s="160" t="s">
        <v>291</v>
      </c>
      <c r="K200" s="269"/>
      <c r="L200" s="550"/>
    </row>
    <row r="201" spans="1:12" s="145" customFormat="1" ht="21" customHeight="1" outlineLevel="1">
      <c r="A201" s="173">
        <v>5</v>
      </c>
      <c r="B201" s="176" t="s">
        <v>40</v>
      </c>
      <c r="C201" s="190" t="s">
        <v>231</v>
      </c>
      <c r="D201" s="174">
        <v>36</v>
      </c>
      <c r="E201" s="174">
        <v>29</v>
      </c>
      <c r="F201" s="189">
        <f>SUM(D201:E201)</f>
        <v>65</v>
      </c>
      <c r="G201" s="174">
        <v>36</v>
      </c>
      <c r="H201" s="174">
        <v>29</v>
      </c>
      <c r="I201" s="189">
        <f>SUM(G201:H201)</f>
        <v>65</v>
      </c>
      <c r="J201" s="190" t="s">
        <v>291</v>
      </c>
      <c r="K201" s="269"/>
      <c r="L201" s="550"/>
    </row>
    <row r="202" spans="1:12" s="145" customFormat="1" ht="21" customHeight="1" outlineLevel="1">
      <c r="A202" s="173">
        <v>6</v>
      </c>
      <c r="B202" s="176" t="s">
        <v>41</v>
      </c>
      <c r="C202" s="190" t="s">
        <v>231</v>
      </c>
      <c r="D202" s="174">
        <v>40</v>
      </c>
      <c r="E202" s="174">
        <v>32</v>
      </c>
      <c r="F202" s="189">
        <f>SUM(D202:E202)</f>
        <v>72</v>
      </c>
      <c r="G202" s="174">
        <v>40</v>
      </c>
      <c r="H202" s="174">
        <v>32</v>
      </c>
      <c r="I202" s="189">
        <f>SUM(G202:H202)</f>
        <v>72</v>
      </c>
      <c r="J202" s="190" t="s">
        <v>291</v>
      </c>
      <c r="K202" s="269"/>
      <c r="L202" s="550"/>
    </row>
    <row r="203" spans="1:12" s="145" customFormat="1" ht="19.5" customHeight="1" outlineLevel="1">
      <c r="A203" s="270" t="s">
        <v>300</v>
      </c>
      <c r="B203" s="155" t="s">
        <v>297</v>
      </c>
      <c r="C203" s="190" t="s">
        <v>231</v>
      </c>
      <c r="D203" s="162" t="s">
        <v>291</v>
      </c>
      <c r="E203" s="162" t="s">
        <v>291</v>
      </c>
      <c r="F203" s="162" t="s">
        <v>291</v>
      </c>
      <c r="G203" s="162" t="s">
        <v>291</v>
      </c>
      <c r="H203" s="162" t="s">
        <v>291</v>
      </c>
      <c r="I203" s="162" t="s">
        <v>291</v>
      </c>
      <c r="J203" s="162" t="s">
        <v>291</v>
      </c>
      <c r="K203" s="269"/>
      <c r="L203" s="550"/>
    </row>
    <row r="204" spans="1:12" s="144" customFormat="1" ht="15.75">
      <c r="A204" s="330" t="s">
        <v>278</v>
      </c>
      <c r="B204" s="331"/>
      <c r="C204" s="331"/>
      <c r="D204" s="331"/>
      <c r="E204" s="331"/>
      <c r="F204" s="331"/>
      <c r="G204" s="331"/>
      <c r="H204" s="331"/>
      <c r="I204" s="331"/>
      <c r="J204" s="332"/>
      <c r="K204" s="277"/>
      <c r="L204" s="547"/>
    </row>
    <row r="205" spans="1:12" s="145" customFormat="1" ht="15.75" outlineLevel="1">
      <c r="A205" s="343">
        <v>1</v>
      </c>
      <c r="B205" s="163" t="s">
        <v>16</v>
      </c>
      <c r="C205" s="160" t="s">
        <v>231</v>
      </c>
      <c r="D205" s="156">
        <v>0</v>
      </c>
      <c r="E205" s="156">
        <v>0</v>
      </c>
      <c r="F205" s="188">
        <f>D205+E205</f>
        <v>0</v>
      </c>
      <c r="G205" s="156">
        <v>575</v>
      </c>
      <c r="H205" s="156">
        <v>249</v>
      </c>
      <c r="I205" s="188">
        <f>G205+H205</f>
        <v>824</v>
      </c>
      <c r="J205" s="160" t="s">
        <v>291</v>
      </c>
      <c r="K205" s="269"/>
      <c r="L205" s="550"/>
    </row>
    <row r="206" spans="1:12" s="145" customFormat="1" ht="19.5" customHeight="1" outlineLevel="1">
      <c r="A206" s="343"/>
      <c r="B206" s="167" t="s">
        <v>17</v>
      </c>
      <c r="C206" s="160" t="s">
        <v>231</v>
      </c>
      <c r="D206" s="156">
        <v>0</v>
      </c>
      <c r="E206" s="156">
        <v>0</v>
      </c>
      <c r="F206" s="188">
        <f aca="true" t="shared" si="4" ref="F206:F213">D206+E206</f>
        <v>0</v>
      </c>
      <c r="G206" s="156">
        <v>148</v>
      </c>
      <c r="H206" s="156">
        <v>113</v>
      </c>
      <c r="I206" s="188">
        <f aca="true" t="shared" si="5" ref="I206:I213">G206+H206</f>
        <v>261</v>
      </c>
      <c r="J206" s="160" t="s">
        <v>291</v>
      </c>
      <c r="K206" s="269"/>
      <c r="L206" s="550"/>
    </row>
    <row r="207" spans="1:12" s="145" customFormat="1" ht="19.5" customHeight="1" outlineLevel="1">
      <c r="A207" s="343"/>
      <c r="B207" s="167" t="s">
        <v>18</v>
      </c>
      <c r="C207" s="160" t="s">
        <v>231</v>
      </c>
      <c r="D207" s="156">
        <v>0</v>
      </c>
      <c r="E207" s="156">
        <v>0</v>
      </c>
      <c r="F207" s="188">
        <f t="shared" si="4"/>
        <v>0</v>
      </c>
      <c r="G207" s="156">
        <v>127</v>
      </c>
      <c r="H207" s="156">
        <v>95</v>
      </c>
      <c r="I207" s="188">
        <f t="shared" si="5"/>
        <v>222</v>
      </c>
      <c r="J207" s="160" t="s">
        <v>291</v>
      </c>
      <c r="K207" s="269"/>
      <c r="L207" s="550"/>
    </row>
    <row r="208" spans="1:12" s="145" customFormat="1" ht="15.75" outlineLevel="1">
      <c r="A208" s="343"/>
      <c r="B208" s="167" t="s">
        <v>19</v>
      </c>
      <c r="C208" s="160" t="s">
        <v>231</v>
      </c>
      <c r="D208" s="156">
        <v>0</v>
      </c>
      <c r="E208" s="156">
        <v>0</v>
      </c>
      <c r="F208" s="188">
        <f t="shared" si="4"/>
        <v>0</v>
      </c>
      <c r="G208" s="156">
        <v>515</v>
      </c>
      <c r="H208" s="156">
        <v>198</v>
      </c>
      <c r="I208" s="188">
        <f t="shared" si="5"/>
        <v>713</v>
      </c>
      <c r="J208" s="160" t="s">
        <v>291</v>
      </c>
      <c r="K208" s="269"/>
      <c r="L208" s="550"/>
    </row>
    <row r="209" spans="1:12" s="145" customFormat="1" ht="19.5" customHeight="1" outlineLevel="1">
      <c r="A209" s="343"/>
      <c r="B209" s="163" t="s">
        <v>20</v>
      </c>
      <c r="C209" s="160" t="s">
        <v>231</v>
      </c>
      <c r="D209" s="156">
        <v>0</v>
      </c>
      <c r="E209" s="156">
        <v>0</v>
      </c>
      <c r="F209" s="188">
        <f t="shared" si="4"/>
        <v>0</v>
      </c>
      <c r="G209" s="156">
        <v>29</v>
      </c>
      <c r="H209" s="156">
        <v>10</v>
      </c>
      <c r="I209" s="188">
        <f t="shared" si="5"/>
        <v>39</v>
      </c>
      <c r="J209" s="160" t="s">
        <v>291</v>
      </c>
      <c r="K209" s="269"/>
      <c r="L209" s="550"/>
    </row>
    <row r="210" spans="1:12" s="145" customFormat="1" ht="19.5" customHeight="1" outlineLevel="1">
      <c r="A210" s="343"/>
      <c r="B210" s="163" t="s">
        <v>21</v>
      </c>
      <c r="C210" s="160" t="s">
        <v>231</v>
      </c>
      <c r="D210" s="156">
        <v>0</v>
      </c>
      <c r="E210" s="156">
        <v>0</v>
      </c>
      <c r="F210" s="188">
        <f t="shared" si="4"/>
        <v>0</v>
      </c>
      <c r="G210" s="156">
        <v>149</v>
      </c>
      <c r="H210" s="156">
        <v>30</v>
      </c>
      <c r="I210" s="188">
        <f t="shared" si="5"/>
        <v>179</v>
      </c>
      <c r="J210" s="160" t="s">
        <v>291</v>
      </c>
      <c r="K210" s="269"/>
      <c r="L210" s="550"/>
    </row>
    <row r="211" spans="1:12" s="145" customFormat="1" ht="19.5" customHeight="1" outlineLevel="1">
      <c r="A211" s="343"/>
      <c r="B211" s="163" t="s">
        <v>22</v>
      </c>
      <c r="C211" s="160" t="s">
        <v>231</v>
      </c>
      <c r="D211" s="156">
        <v>0</v>
      </c>
      <c r="E211" s="156">
        <v>0</v>
      </c>
      <c r="F211" s="188">
        <f t="shared" si="4"/>
        <v>0</v>
      </c>
      <c r="G211" s="156">
        <v>488</v>
      </c>
      <c r="H211" s="156">
        <v>177</v>
      </c>
      <c r="I211" s="188">
        <f t="shared" si="5"/>
        <v>665</v>
      </c>
      <c r="J211" s="160" t="s">
        <v>291</v>
      </c>
      <c r="K211" s="269"/>
      <c r="L211" s="550"/>
    </row>
    <row r="212" spans="1:12" s="145" customFormat="1" ht="19.5" customHeight="1" outlineLevel="1">
      <c r="A212" s="343"/>
      <c r="B212" s="167" t="s">
        <v>23</v>
      </c>
      <c r="C212" s="160" t="s">
        <v>231</v>
      </c>
      <c r="D212" s="156">
        <f>115-115</f>
        <v>0</v>
      </c>
      <c r="E212" s="156">
        <v>0</v>
      </c>
      <c r="F212" s="188">
        <f t="shared" si="4"/>
        <v>0</v>
      </c>
      <c r="G212" s="156">
        <v>115</v>
      </c>
      <c r="H212" s="156">
        <v>41</v>
      </c>
      <c r="I212" s="188">
        <f t="shared" si="5"/>
        <v>156</v>
      </c>
      <c r="J212" s="160" t="s">
        <v>291</v>
      </c>
      <c r="K212" s="269"/>
      <c r="L212" s="550"/>
    </row>
    <row r="213" spans="1:12" s="145" customFormat="1" ht="24" customHeight="1" outlineLevel="1">
      <c r="A213" s="343"/>
      <c r="B213" s="167" t="s">
        <v>24</v>
      </c>
      <c r="C213" s="160" t="s">
        <v>231</v>
      </c>
      <c r="D213" s="156">
        <v>0</v>
      </c>
      <c r="E213" s="156">
        <v>0</v>
      </c>
      <c r="F213" s="188">
        <f t="shared" si="4"/>
        <v>0</v>
      </c>
      <c r="G213" s="156">
        <v>105</v>
      </c>
      <c r="H213" s="156">
        <v>12</v>
      </c>
      <c r="I213" s="188">
        <f t="shared" si="5"/>
        <v>117</v>
      </c>
      <c r="J213" s="160" t="s">
        <v>291</v>
      </c>
      <c r="K213" s="269"/>
      <c r="L213" s="550"/>
    </row>
    <row r="214" spans="1:12" s="145" customFormat="1" ht="19.5" customHeight="1" outlineLevel="1">
      <c r="A214" s="271">
        <v>2</v>
      </c>
      <c r="B214" s="163" t="s">
        <v>25</v>
      </c>
      <c r="C214" s="160">
        <v>15</v>
      </c>
      <c r="D214" s="162" t="s">
        <v>291</v>
      </c>
      <c r="E214" s="162" t="s">
        <v>291</v>
      </c>
      <c r="F214" s="157">
        <v>0</v>
      </c>
      <c r="G214" s="162" t="s">
        <v>291</v>
      </c>
      <c r="H214" s="162" t="s">
        <v>291</v>
      </c>
      <c r="I214" s="157">
        <v>52</v>
      </c>
      <c r="J214" s="322">
        <f>I214/C214*100</f>
        <v>346.6666666666667</v>
      </c>
      <c r="K214" s="269"/>
      <c r="L214" s="550"/>
    </row>
    <row r="215" spans="1:12" s="145" customFormat="1" ht="19.5" customHeight="1" outlineLevel="1">
      <c r="A215" s="270" t="s">
        <v>300</v>
      </c>
      <c r="B215" s="155" t="s">
        <v>297</v>
      </c>
      <c r="C215" s="160" t="s">
        <v>231</v>
      </c>
      <c r="D215" s="162" t="s">
        <v>291</v>
      </c>
      <c r="E215" s="162" t="s">
        <v>291</v>
      </c>
      <c r="F215" s="162" t="s">
        <v>291</v>
      </c>
      <c r="G215" s="162" t="s">
        <v>291</v>
      </c>
      <c r="H215" s="162" t="s">
        <v>291</v>
      </c>
      <c r="I215" s="162" t="s">
        <v>291</v>
      </c>
      <c r="J215" s="162" t="s">
        <v>291</v>
      </c>
      <c r="K215" s="269"/>
      <c r="L215" s="550"/>
    </row>
    <row r="216" spans="1:12" s="145" customFormat="1" ht="19.5" customHeight="1" outlineLevel="1">
      <c r="A216" s="330" t="s">
        <v>415</v>
      </c>
      <c r="B216" s="331"/>
      <c r="C216" s="331"/>
      <c r="D216" s="331"/>
      <c r="E216" s="331"/>
      <c r="F216" s="331"/>
      <c r="G216" s="331"/>
      <c r="H216" s="331"/>
      <c r="I216" s="331"/>
      <c r="J216" s="332"/>
      <c r="K216" s="269"/>
      <c r="L216" s="550"/>
    </row>
    <row r="217" spans="1:13" s="145" customFormat="1" ht="19.5" customHeight="1" outlineLevel="1">
      <c r="A217" s="349">
        <v>1</v>
      </c>
      <c r="B217" s="163" t="s">
        <v>348</v>
      </c>
      <c r="C217" s="188">
        <v>28398</v>
      </c>
      <c r="D217" s="157">
        <f aca="true" t="shared" si="6" ref="D217:I225">D149+D175+D205</f>
        <v>1801</v>
      </c>
      <c r="E217" s="157">
        <f t="shared" si="6"/>
        <v>1214</v>
      </c>
      <c r="F217" s="157">
        <f t="shared" si="6"/>
        <v>3015</v>
      </c>
      <c r="G217" s="157">
        <f t="shared" si="6"/>
        <v>18151</v>
      </c>
      <c r="H217" s="157">
        <f t="shared" si="6"/>
        <v>12528</v>
      </c>
      <c r="I217" s="157">
        <f t="shared" si="6"/>
        <v>30679</v>
      </c>
      <c r="J217" s="250">
        <f>I217/C217*100</f>
        <v>108.03225579266145</v>
      </c>
      <c r="K217" s="287"/>
      <c r="L217" s="552"/>
      <c r="M217" s="552"/>
    </row>
    <row r="218" spans="1:13" s="145" customFormat="1" ht="19.5" customHeight="1" outlineLevel="1">
      <c r="A218" s="350"/>
      <c r="B218" s="167" t="s">
        <v>398</v>
      </c>
      <c r="C218" s="188">
        <v>9932</v>
      </c>
      <c r="D218" s="157">
        <f t="shared" si="6"/>
        <v>659</v>
      </c>
      <c r="E218" s="157">
        <f t="shared" si="6"/>
        <v>396</v>
      </c>
      <c r="F218" s="157">
        <f t="shared" si="6"/>
        <v>1055</v>
      </c>
      <c r="G218" s="157">
        <f t="shared" si="6"/>
        <v>7565</v>
      </c>
      <c r="H218" s="157">
        <f t="shared" si="6"/>
        <v>4832</v>
      </c>
      <c r="I218" s="157">
        <f t="shared" si="6"/>
        <v>12397</v>
      </c>
      <c r="J218" s="250">
        <f aca="true" t="shared" si="7" ref="J218:J233">I218/C218*100</f>
        <v>124.81876761981474</v>
      </c>
      <c r="K218" s="287"/>
      <c r="L218" s="552"/>
      <c r="M218" s="288"/>
    </row>
    <row r="219" spans="1:13" s="145" customFormat="1" ht="19.5" customHeight="1" outlineLevel="1">
      <c r="A219" s="350"/>
      <c r="B219" s="167" t="s">
        <v>399</v>
      </c>
      <c r="C219" s="188">
        <v>4155</v>
      </c>
      <c r="D219" s="157">
        <f t="shared" si="6"/>
        <v>270</v>
      </c>
      <c r="E219" s="157">
        <f t="shared" si="6"/>
        <v>165</v>
      </c>
      <c r="F219" s="157">
        <f t="shared" si="6"/>
        <v>435</v>
      </c>
      <c r="G219" s="157">
        <f t="shared" si="6"/>
        <v>3172</v>
      </c>
      <c r="H219" s="157">
        <f t="shared" si="6"/>
        <v>2054</v>
      </c>
      <c r="I219" s="157">
        <f t="shared" si="6"/>
        <v>5226</v>
      </c>
      <c r="J219" s="250">
        <f t="shared" si="7"/>
        <v>125.77617328519857</v>
      </c>
      <c r="K219" s="287"/>
      <c r="L219" s="552"/>
      <c r="M219" s="288"/>
    </row>
    <row r="220" spans="1:13" s="145" customFormat="1" ht="19.5" customHeight="1" outlineLevel="1">
      <c r="A220" s="350"/>
      <c r="B220" s="167" t="s">
        <v>267</v>
      </c>
      <c r="C220" s="188">
        <v>9998</v>
      </c>
      <c r="D220" s="157">
        <f t="shared" si="6"/>
        <v>1242</v>
      </c>
      <c r="E220" s="157">
        <f t="shared" si="6"/>
        <v>832</v>
      </c>
      <c r="F220" s="157">
        <f t="shared" si="6"/>
        <v>2074</v>
      </c>
      <c r="G220" s="157">
        <f t="shared" si="6"/>
        <v>10916</v>
      </c>
      <c r="H220" s="157">
        <f t="shared" si="6"/>
        <v>7239</v>
      </c>
      <c r="I220" s="157">
        <f t="shared" si="6"/>
        <v>18155</v>
      </c>
      <c r="J220" s="250">
        <f t="shared" si="7"/>
        <v>181.58631726345268</v>
      </c>
      <c r="K220" s="287"/>
      <c r="L220" s="552"/>
      <c r="M220" s="288"/>
    </row>
    <row r="221" spans="1:13" s="145" customFormat="1" ht="19.5" customHeight="1" outlineLevel="1">
      <c r="A221" s="350"/>
      <c r="B221" s="163" t="s">
        <v>268</v>
      </c>
      <c r="C221" s="188">
        <v>1011</v>
      </c>
      <c r="D221" s="157">
        <f t="shared" si="6"/>
        <v>260</v>
      </c>
      <c r="E221" s="157">
        <f t="shared" si="6"/>
        <v>130</v>
      </c>
      <c r="F221" s="157">
        <f t="shared" si="6"/>
        <v>390</v>
      </c>
      <c r="G221" s="157">
        <f t="shared" si="6"/>
        <v>1643</v>
      </c>
      <c r="H221" s="157">
        <f t="shared" si="6"/>
        <v>931</v>
      </c>
      <c r="I221" s="157">
        <f t="shared" si="6"/>
        <v>2574</v>
      </c>
      <c r="J221" s="250">
        <f t="shared" si="7"/>
        <v>254.59940652818995</v>
      </c>
      <c r="K221" s="287"/>
      <c r="L221" s="552"/>
      <c r="M221" s="288"/>
    </row>
    <row r="222" spans="1:13" s="145" customFormat="1" ht="19.5" customHeight="1" outlineLevel="1">
      <c r="A222" s="350"/>
      <c r="B222" s="163" t="s">
        <v>269</v>
      </c>
      <c r="C222" s="188">
        <v>1614</v>
      </c>
      <c r="D222" s="157">
        <f t="shared" si="6"/>
        <v>692</v>
      </c>
      <c r="E222" s="157">
        <f t="shared" si="6"/>
        <v>449</v>
      </c>
      <c r="F222" s="157">
        <f t="shared" si="6"/>
        <v>1141</v>
      </c>
      <c r="G222" s="157">
        <f t="shared" si="6"/>
        <v>5357</v>
      </c>
      <c r="H222" s="157">
        <f t="shared" si="6"/>
        <v>3104</v>
      </c>
      <c r="I222" s="157">
        <f t="shared" si="6"/>
        <v>8461</v>
      </c>
      <c r="J222" s="250">
        <f t="shared" si="7"/>
        <v>524.2255266418836</v>
      </c>
      <c r="K222" s="287"/>
      <c r="L222" s="552"/>
      <c r="M222" s="288"/>
    </row>
    <row r="223" spans="1:13" s="145" customFormat="1" ht="19.5" customHeight="1" outlineLevel="1">
      <c r="A223" s="350"/>
      <c r="B223" s="163" t="s">
        <v>270</v>
      </c>
      <c r="C223" s="188">
        <v>4024</v>
      </c>
      <c r="D223" s="157">
        <f t="shared" si="6"/>
        <v>669</v>
      </c>
      <c r="E223" s="157">
        <f t="shared" si="6"/>
        <v>428</v>
      </c>
      <c r="F223" s="157">
        <f t="shared" si="6"/>
        <v>1097</v>
      </c>
      <c r="G223" s="157">
        <f t="shared" si="6"/>
        <v>6757</v>
      </c>
      <c r="H223" s="157">
        <f t="shared" si="6"/>
        <v>4770</v>
      </c>
      <c r="I223" s="157">
        <f t="shared" si="6"/>
        <v>11527</v>
      </c>
      <c r="J223" s="250">
        <f t="shared" si="7"/>
        <v>286.45626242544733</v>
      </c>
      <c r="K223" s="287"/>
      <c r="L223" s="552"/>
      <c r="M223" s="288"/>
    </row>
    <row r="224" spans="1:13" s="145" customFormat="1" ht="19.5" customHeight="1" outlineLevel="1">
      <c r="A224" s="350"/>
      <c r="B224" s="167" t="s">
        <v>400</v>
      </c>
      <c r="C224" s="188">
        <v>4780</v>
      </c>
      <c r="D224" s="157">
        <f t="shared" si="6"/>
        <v>585</v>
      </c>
      <c r="E224" s="157">
        <f t="shared" si="6"/>
        <v>531</v>
      </c>
      <c r="F224" s="157">
        <f t="shared" si="6"/>
        <v>1116</v>
      </c>
      <c r="G224" s="157">
        <f t="shared" si="6"/>
        <v>2484</v>
      </c>
      <c r="H224" s="157">
        <f t="shared" si="6"/>
        <v>2367</v>
      </c>
      <c r="I224" s="157">
        <f t="shared" si="6"/>
        <v>4851</v>
      </c>
      <c r="J224" s="250">
        <f t="shared" si="7"/>
        <v>101.48535564853556</v>
      </c>
      <c r="K224" s="287"/>
      <c r="L224" s="552"/>
      <c r="M224" s="288"/>
    </row>
    <row r="225" spans="1:13" s="145" customFormat="1" ht="19.5" customHeight="1" outlineLevel="1">
      <c r="A225" s="351"/>
      <c r="B225" s="167" t="s">
        <v>401</v>
      </c>
      <c r="C225" s="188">
        <v>8587</v>
      </c>
      <c r="D225" s="157">
        <f t="shared" si="6"/>
        <v>1712</v>
      </c>
      <c r="E225" s="157">
        <f t="shared" si="6"/>
        <v>1192</v>
      </c>
      <c r="F225" s="157">
        <f t="shared" si="6"/>
        <v>2904</v>
      </c>
      <c r="G225" s="157">
        <f t="shared" si="6"/>
        <v>9311</v>
      </c>
      <c r="H225" s="157">
        <f t="shared" si="6"/>
        <v>6219</v>
      </c>
      <c r="I225" s="157">
        <f t="shared" si="6"/>
        <v>15530</v>
      </c>
      <c r="J225" s="250">
        <f t="shared" si="7"/>
        <v>180.85478048212414</v>
      </c>
      <c r="K225" s="287"/>
      <c r="L225" s="552"/>
      <c r="M225" s="288"/>
    </row>
    <row r="226" spans="1:13" s="145" customFormat="1" ht="19.5" customHeight="1" outlineLevel="1">
      <c r="A226" s="349">
        <v>2</v>
      </c>
      <c r="B226" s="155" t="s">
        <v>175</v>
      </c>
      <c r="C226" s="188">
        <v>3405</v>
      </c>
      <c r="D226" s="157">
        <f aca="true" t="shared" si="8" ref="D226:I232">D159+D184</f>
        <v>131</v>
      </c>
      <c r="E226" s="157">
        <f t="shared" si="8"/>
        <v>141</v>
      </c>
      <c r="F226" s="157">
        <f t="shared" si="8"/>
        <v>272</v>
      </c>
      <c r="G226" s="157">
        <f t="shared" si="8"/>
        <v>2090</v>
      </c>
      <c r="H226" s="157">
        <f t="shared" si="8"/>
        <v>2872</v>
      </c>
      <c r="I226" s="157">
        <f t="shared" si="8"/>
        <v>4962</v>
      </c>
      <c r="J226" s="250">
        <f t="shared" si="7"/>
        <v>145.72687224669602</v>
      </c>
      <c r="K226" s="287"/>
      <c r="L226" s="552"/>
      <c r="M226" s="552"/>
    </row>
    <row r="227" spans="1:13" s="145" customFormat="1" ht="19.5" customHeight="1" outlineLevel="1">
      <c r="A227" s="350"/>
      <c r="B227" s="164" t="s">
        <v>398</v>
      </c>
      <c r="C227" s="188">
        <v>726</v>
      </c>
      <c r="D227" s="157">
        <f t="shared" si="8"/>
        <v>34</v>
      </c>
      <c r="E227" s="157">
        <f t="shared" si="8"/>
        <v>27</v>
      </c>
      <c r="F227" s="157">
        <f t="shared" si="8"/>
        <v>61</v>
      </c>
      <c r="G227" s="157">
        <f t="shared" si="8"/>
        <v>454</v>
      </c>
      <c r="H227" s="157">
        <f t="shared" si="8"/>
        <v>615</v>
      </c>
      <c r="I227" s="157">
        <f t="shared" si="8"/>
        <v>1069</v>
      </c>
      <c r="J227" s="250">
        <f t="shared" si="7"/>
        <v>147.24517906336087</v>
      </c>
      <c r="K227" s="287"/>
      <c r="L227" s="552"/>
      <c r="M227" s="288"/>
    </row>
    <row r="228" spans="1:13" s="145" customFormat="1" ht="19.5" customHeight="1" outlineLevel="1">
      <c r="A228" s="350"/>
      <c r="B228" s="164" t="s">
        <v>267</v>
      </c>
      <c r="C228" s="188">
        <v>1000</v>
      </c>
      <c r="D228" s="157">
        <f t="shared" si="8"/>
        <v>76</v>
      </c>
      <c r="E228" s="157">
        <f t="shared" si="8"/>
        <v>88</v>
      </c>
      <c r="F228" s="157">
        <f t="shared" si="8"/>
        <v>164</v>
      </c>
      <c r="G228" s="157">
        <f t="shared" si="8"/>
        <v>1178</v>
      </c>
      <c r="H228" s="157">
        <f t="shared" si="8"/>
        <v>1647</v>
      </c>
      <c r="I228" s="157">
        <f t="shared" si="8"/>
        <v>2825</v>
      </c>
      <c r="J228" s="250">
        <f t="shared" si="7"/>
        <v>282.5</v>
      </c>
      <c r="K228" s="287"/>
      <c r="L228" s="552"/>
      <c r="M228" s="288"/>
    </row>
    <row r="229" spans="1:13" s="145" customFormat="1" ht="19.5" customHeight="1" outlineLevel="1">
      <c r="A229" s="350"/>
      <c r="B229" s="155" t="s">
        <v>268</v>
      </c>
      <c r="C229" s="188">
        <v>101</v>
      </c>
      <c r="D229" s="157">
        <f t="shared" si="8"/>
        <v>5</v>
      </c>
      <c r="E229" s="157">
        <f t="shared" si="8"/>
        <v>7</v>
      </c>
      <c r="F229" s="157">
        <f t="shared" si="8"/>
        <v>12</v>
      </c>
      <c r="G229" s="157">
        <f t="shared" si="8"/>
        <v>85</v>
      </c>
      <c r="H229" s="157">
        <f t="shared" si="8"/>
        <v>93</v>
      </c>
      <c r="I229" s="157">
        <f t="shared" si="8"/>
        <v>178</v>
      </c>
      <c r="J229" s="250">
        <f t="shared" si="7"/>
        <v>176.23762376237624</v>
      </c>
      <c r="K229" s="287"/>
      <c r="L229" s="552"/>
      <c r="M229" s="288"/>
    </row>
    <row r="230" spans="1:13" s="145" customFormat="1" ht="19.5" customHeight="1" outlineLevel="1">
      <c r="A230" s="350"/>
      <c r="B230" s="155" t="s">
        <v>269</v>
      </c>
      <c r="C230" s="188">
        <v>162</v>
      </c>
      <c r="D230" s="157">
        <f t="shared" si="8"/>
        <v>29</v>
      </c>
      <c r="E230" s="157">
        <f t="shared" si="8"/>
        <v>41</v>
      </c>
      <c r="F230" s="157">
        <f t="shared" si="8"/>
        <v>70</v>
      </c>
      <c r="G230" s="157">
        <f t="shared" si="8"/>
        <v>562</v>
      </c>
      <c r="H230" s="157">
        <f t="shared" si="8"/>
        <v>799</v>
      </c>
      <c r="I230" s="157">
        <f t="shared" si="8"/>
        <v>1361</v>
      </c>
      <c r="J230" s="250">
        <f t="shared" si="7"/>
        <v>840.1234567901234</v>
      </c>
      <c r="K230" s="287"/>
      <c r="L230" s="552"/>
      <c r="M230" s="288"/>
    </row>
    <row r="231" spans="1:13" s="145" customFormat="1" ht="19.5" customHeight="1" outlineLevel="1">
      <c r="A231" s="350"/>
      <c r="B231" s="155" t="s">
        <v>271</v>
      </c>
      <c r="C231" s="188">
        <v>403</v>
      </c>
      <c r="D231" s="157">
        <f t="shared" si="8"/>
        <v>59</v>
      </c>
      <c r="E231" s="157">
        <f t="shared" si="8"/>
        <v>55</v>
      </c>
      <c r="F231" s="157">
        <f>F164+F189</f>
        <v>114</v>
      </c>
      <c r="G231" s="157">
        <f t="shared" si="8"/>
        <v>772</v>
      </c>
      <c r="H231" s="157">
        <f t="shared" si="8"/>
        <v>1107</v>
      </c>
      <c r="I231" s="157">
        <f t="shared" si="8"/>
        <v>1879</v>
      </c>
      <c r="J231" s="250">
        <f t="shared" si="7"/>
        <v>466.2531017369727</v>
      </c>
      <c r="K231" s="287"/>
      <c r="L231" s="552"/>
      <c r="M231" s="288"/>
    </row>
    <row r="232" spans="1:13" s="145" customFormat="1" ht="19.5" customHeight="1" outlineLevel="1">
      <c r="A232" s="351"/>
      <c r="B232" s="164" t="s">
        <v>400</v>
      </c>
      <c r="C232" s="188">
        <v>306</v>
      </c>
      <c r="D232" s="157">
        <f t="shared" si="8"/>
        <v>17</v>
      </c>
      <c r="E232" s="157">
        <f t="shared" si="8"/>
        <v>21</v>
      </c>
      <c r="F232" s="157">
        <f t="shared" si="8"/>
        <v>38</v>
      </c>
      <c r="G232" s="157">
        <f t="shared" si="8"/>
        <v>158</v>
      </c>
      <c r="H232" s="157">
        <f t="shared" si="8"/>
        <v>337</v>
      </c>
      <c r="I232" s="157">
        <f t="shared" si="8"/>
        <v>495</v>
      </c>
      <c r="J232" s="250">
        <f t="shared" si="7"/>
        <v>161.76470588235296</v>
      </c>
      <c r="K232" s="287"/>
      <c r="L232" s="552"/>
      <c r="M232" s="288"/>
    </row>
    <row r="233" spans="1:13" s="145" customFormat="1" ht="19.5" customHeight="1" outlineLevel="1">
      <c r="A233" s="270">
        <v>3</v>
      </c>
      <c r="B233" s="163" t="s">
        <v>373</v>
      </c>
      <c r="C233" s="188">
        <v>3358</v>
      </c>
      <c r="D233" s="179" t="s">
        <v>291</v>
      </c>
      <c r="E233" s="179" t="s">
        <v>291</v>
      </c>
      <c r="F233" s="157">
        <f>F166+F194</f>
        <v>315</v>
      </c>
      <c r="G233" s="179" t="s">
        <v>291</v>
      </c>
      <c r="H233" s="179" t="s">
        <v>291</v>
      </c>
      <c r="I233" s="157">
        <f>I166+I194</f>
        <v>5267</v>
      </c>
      <c r="J233" s="250">
        <f t="shared" si="7"/>
        <v>156.84931506849315</v>
      </c>
      <c r="K233" s="287"/>
      <c r="L233" s="552"/>
      <c r="M233" s="288"/>
    </row>
    <row r="234" spans="1:12" s="145" customFormat="1" ht="24.75" customHeight="1">
      <c r="A234" s="327" t="s">
        <v>349</v>
      </c>
      <c r="B234" s="341"/>
      <c r="C234" s="341"/>
      <c r="D234" s="341"/>
      <c r="E234" s="341"/>
      <c r="F234" s="341"/>
      <c r="G234" s="341"/>
      <c r="H234" s="341"/>
      <c r="I234" s="341"/>
      <c r="J234" s="342"/>
      <c r="K234" s="269"/>
      <c r="L234" s="550"/>
    </row>
    <row r="235" spans="1:12" s="144" customFormat="1" ht="24.75" customHeight="1">
      <c r="A235" s="330" t="s">
        <v>279</v>
      </c>
      <c r="B235" s="331"/>
      <c r="C235" s="331"/>
      <c r="D235" s="331"/>
      <c r="E235" s="331"/>
      <c r="F235" s="331"/>
      <c r="G235" s="331"/>
      <c r="H235" s="331"/>
      <c r="I235" s="331"/>
      <c r="J235" s="332"/>
      <c r="K235" s="277"/>
      <c r="L235" s="547"/>
    </row>
    <row r="236" spans="1:12" s="145" customFormat="1" ht="30" customHeight="1" hidden="1" outlineLevel="1">
      <c r="A236" s="343">
        <v>1</v>
      </c>
      <c r="B236" s="155" t="s">
        <v>350</v>
      </c>
      <c r="C236" s="156"/>
      <c r="D236" s="157"/>
      <c r="E236" s="158"/>
      <c r="F236" s="158"/>
      <c r="G236" s="157"/>
      <c r="H236" s="158"/>
      <c r="I236" s="158"/>
      <c r="J236" s="162"/>
      <c r="K236" s="269"/>
      <c r="L236" s="550"/>
    </row>
    <row r="237" spans="1:12" s="145" customFormat="1" ht="19.5" customHeight="1" hidden="1" outlineLevel="1">
      <c r="A237" s="343"/>
      <c r="B237" s="167" t="s">
        <v>405</v>
      </c>
      <c r="C237" s="168"/>
      <c r="D237" s="157"/>
      <c r="E237" s="158"/>
      <c r="F237" s="158"/>
      <c r="G237" s="157"/>
      <c r="H237" s="158"/>
      <c r="I237" s="158"/>
      <c r="J237" s="162"/>
      <c r="K237" s="269"/>
      <c r="L237" s="550"/>
    </row>
    <row r="238" spans="1:12" s="145" customFormat="1" ht="30" customHeight="1" hidden="1" outlineLevel="1">
      <c r="A238" s="271">
        <v>2</v>
      </c>
      <c r="B238" s="155" t="s">
        <v>406</v>
      </c>
      <c r="C238" s="156"/>
      <c r="D238" s="157"/>
      <c r="E238" s="158"/>
      <c r="F238" s="158"/>
      <c r="G238" s="157"/>
      <c r="H238" s="158"/>
      <c r="I238" s="158"/>
      <c r="J238" s="162"/>
      <c r="K238" s="269"/>
      <c r="L238" s="550"/>
    </row>
    <row r="239" spans="1:12" s="145" customFormat="1" ht="31.5" customHeight="1" hidden="1" outlineLevel="1">
      <c r="A239" s="272">
        <v>3</v>
      </c>
      <c r="B239" s="155" t="s">
        <v>157</v>
      </c>
      <c r="C239" s="160"/>
      <c r="D239" s="157"/>
      <c r="E239" s="157"/>
      <c r="F239" s="157"/>
      <c r="G239" s="157"/>
      <c r="H239" s="157"/>
      <c r="I239" s="157"/>
      <c r="J239" s="162"/>
      <c r="K239" s="269"/>
      <c r="L239" s="550"/>
    </row>
    <row r="240" spans="1:12" s="145" customFormat="1" ht="23.25" customHeight="1" hidden="1" outlineLevel="1">
      <c r="A240" s="270" t="s">
        <v>300</v>
      </c>
      <c r="B240" s="155" t="s">
        <v>297</v>
      </c>
      <c r="C240" s="161"/>
      <c r="D240" s="157"/>
      <c r="E240" s="157"/>
      <c r="F240" s="157"/>
      <c r="G240" s="157"/>
      <c r="H240" s="157"/>
      <c r="I240" s="157"/>
      <c r="J240" s="158"/>
      <c r="K240" s="269"/>
      <c r="L240" s="550"/>
    </row>
    <row r="241" spans="1:12" s="144" customFormat="1" ht="24.75" customHeight="1" collapsed="1">
      <c r="A241" s="330" t="s">
        <v>280</v>
      </c>
      <c r="B241" s="331"/>
      <c r="C241" s="331"/>
      <c r="D241" s="331"/>
      <c r="E241" s="331"/>
      <c r="F241" s="331"/>
      <c r="G241" s="331"/>
      <c r="H241" s="331"/>
      <c r="I241" s="331"/>
      <c r="J241" s="332"/>
      <c r="K241" s="277"/>
      <c r="L241" s="547"/>
    </row>
    <row r="242" spans="1:12" s="145" customFormat="1" ht="25.5" customHeight="1" hidden="1" outlineLevel="1">
      <c r="A242" s="271">
        <v>1</v>
      </c>
      <c r="B242" s="163" t="s">
        <v>281</v>
      </c>
      <c r="C242" s="156"/>
      <c r="D242" s="156"/>
      <c r="E242" s="156"/>
      <c r="F242" s="156"/>
      <c r="G242" s="156"/>
      <c r="H242" s="156"/>
      <c r="I242" s="156"/>
      <c r="J242" s="162"/>
      <c r="K242" s="269"/>
      <c r="L242" s="550"/>
    </row>
    <row r="243" spans="1:12" s="145" customFormat="1" ht="30" customHeight="1" hidden="1" outlineLevel="1">
      <c r="A243" s="271">
        <v>2</v>
      </c>
      <c r="B243" s="163" t="s">
        <v>158</v>
      </c>
      <c r="C243" s="156"/>
      <c r="D243" s="162" t="s">
        <v>291</v>
      </c>
      <c r="E243" s="162" t="s">
        <v>291</v>
      </c>
      <c r="F243" s="156"/>
      <c r="G243" s="162" t="s">
        <v>291</v>
      </c>
      <c r="H243" s="162" t="s">
        <v>291</v>
      </c>
      <c r="I243" s="156"/>
      <c r="J243" s="162"/>
      <c r="K243" s="269"/>
      <c r="L243" s="550"/>
    </row>
    <row r="244" spans="1:12" s="145" customFormat="1" ht="28.5" customHeight="1" hidden="1" outlineLevel="1">
      <c r="A244" s="271">
        <v>3</v>
      </c>
      <c r="B244" s="155" t="s">
        <v>159</v>
      </c>
      <c r="C244" s="156"/>
      <c r="D244" s="162" t="s">
        <v>291</v>
      </c>
      <c r="E244" s="162" t="s">
        <v>291</v>
      </c>
      <c r="F244" s="156"/>
      <c r="G244" s="162" t="s">
        <v>291</v>
      </c>
      <c r="H244" s="162" t="s">
        <v>291</v>
      </c>
      <c r="I244" s="156"/>
      <c r="J244" s="162"/>
      <c r="K244" s="269"/>
      <c r="L244" s="550"/>
    </row>
    <row r="245" spans="1:12" s="145" customFormat="1" ht="18.75" customHeight="1" hidden="1" outlineLevel="1">
      <c r="A245" s="271">
        <v>4</v>
      </c>
      <c r="B245" s="155" t="s">
        <v>190</v>
      </c>
      <c r="C245" s="156"/>
      <c r="D245" s="156"/>
      <c r="E245" s="156"/>
      <c r="F245" s="156"/>
      <c r="G245" s="156"/>
      <c r="H245" s="156"/>
      <c r="I245" s="156"/>
      <c r="J245" s="162"/>
      <c r="K245" s="269"/>
      <c r="L245" s="550"/>
    </row>
    <row r="246" spans="1:12" s="145" customFormat="1" ht="24.75" customHeight="1" hidden="1" outlineLevel="1">
      <c r="A246" s="271">
        <v>5</v>
      </c>
      <c r="B246" s="155" t="s">
        <v>160</v>
      </c>
      <c r="C246" s="156"/>
      <c r="D246" s="162" t="s">
        <v>291</v>
      </c>
      <c r="E246" s="162" t="s">
        <v>291</v>
      </c>
      <c r="F246" s="156"/>
      <c r="G246" s="162" t="s">
        <v>291</v>
      </c>
      <c r="H246" s="162" t="s">
        <v>291</v>
      </c>
      <c r="I246" s="156"/>
      <c r="J246" s="162"/>
      <c r="K246" s="269"/>
      <c r="L246" s="550"/>
    </row>
    <row r="247" spans="1:12" s="145" customFormat="1" ht="19.5" customHeight="1" hidden="1" outlineLevel="1">
      <c r="A247" s="270" t="s">
        <v>300</v>
      </c>
      <c r="B247" s="155" t="s">
        <v>297</v>
      </c>
      <c r="C247" s="156"/>
      <c r="D247" s="156"/>
      <c r="E247" s="156"/>
      <c r="F247" s="156"/>
      <c r="G247" s="156"/>
      <c r="H247" s="156"/>
      <c r="I247" s="156"/>
      <c r="J247" s="158"/>
      <c r="K247" s="269"/>
      <c r="L247" s="550"/>
    </row>
    <row r="248" spans="1:12" s="145" customFormat="1" ht="19.5" customHeight="1" collapsed="1">
      <c r="A248" s="330" t="s">
        <v>282</v>
      </c>
      <c r="B248" s="331"/>
      <c r="C248" s="331"/>
      <c r="D248" s="331"/>
      <c r="E248" s="331"/>
      <c r="F248" s="331"/>
      <c r="G248" s="331"/>
      <c r="H248" s="331"/>
      <c r="I248" s="331"/>
      <c r="J248" s="332"/>
      <c r="K248" s="269"/>
      <c r="L248" s="550"/>
    </row>
    <row r="249" spans="1:12" s="145" customFormat="1" ht="31.5" hidden="1" outlineLevel="1">
      <c r="A249" s="271">
        <v>1</v>
      </c>
      <c r="B249" s="155" t="s">
        <v>26</v>
      </c>
      <c r="C249" s="156"/>
      <c r="D249" s="162" t="s">
        <v>291</v>
      </c>
      <c r="E249" s="162" t="s">
        <v>291</v>
      </c>
      <c r="F249" s="158"/>
      <c r="G249" s="162" t="s">
        <v>291</v>
      </c>
      <c r="H249" s="162" t="s">
        <v>291</v>
      </c>
      <c r="I249" s="158"/>
      <c r="J249" s="162"/>
      <c r="K249" s="269"/>
      <c r="L249" s="550"/>
    </row>
    <row r="250" spans="1:12" s="145" customFormat="1" ht="19.5" customHeight="1" hidden="1" outlineLevel="1">
      <c r="A250" s="270" t="s">
        <v>300</v>
      </c>
      <c r="B250" s="155" t="s">
        <v>297</v>
      </c>
      <c r="C250" s="156"/>
      <c r="D250" s="156"/>
      <c r="E250" s="156"/>
      <c r="F250" s="156"/>
      <c r="G250" s="156"/>
      <c r="H250" s="156"/>
      <c r="I250" s="158"/>
      <c r="J250" s="158"/>
      <c r="K250" s="269"/>
      <c r="L250" s="550"/>
    </row>
    <row r="251" spans="1:12" s="145" customFormat="1" ht="19.5" customHeight="1" collapsed="1">
      <c r="A251" s="330" t="s">
        <v>161</v>
      </c>
      <c r="B251" s="331"/>
      <c r="C251" s="331"/>
      <c r="D251" s="331"/>
      <c r="E251" s="331"/>
      <c r="F251" s="331"/>
      <c r="G251" s="331"/>
      <c r="H251" s="331"/>
      <c r="I251" s="331"/>
      <c r="J251" s="332"/>
      <c r="K251" s="269"/>
      <c r="L251" s="550"/>
    </row>
    <row r="252" spans="1:12" s="145" customFormat="1" ht="31.5" hidden="1" outlineLevel="1">
      <c r="A252" s="177">
        <v>1</v>
      </c>
      <c r="B252" s="155" t="s">
        <v>162</v>
      </c>
      <c r="C252" s="156"/>
      <c r="D252" s="156"/>
      <c r="E252" s="156"/>
      <c r="F252" s="156"/>
      <c r="G252" s="156"/>
      <c r="H252" s="156"/>
      <c r="I252" s="156"/>
      <c r="J252" s="158"/>
      <c r="K252" s="269"/>
      <c r="L252" s="550"/>
    </row>
    <row r="253" spans="1:12" s="145" customFormat="1" ht="19.5" customHeight="1" hidden="1" outlineLevel="1">
      <c r="A253" s="177" t="s">
        <v>300</v>
      </c>
      <c r="B253" s="155" t="s">
        <v>297</v>
      </c>
      <c r="C253" s="156"/>
      <c r="D253" s="156"/>
      <c r="E253" s="156"/>
      <c r="F253" s="156"/>
      <c r="G253" s="156"/>
      <c r="H253" s="156"/>
      <c r="I253" s="156"/>
      <c r="J253" s="158"/>
      <c r="K253" s="269"/>
      <c r="L253" s="550"/>
    </row>
    <row r="254" spans="1:12" s="145" customFormat="1" ht="24.75" customHeight="1" collapsed="1">
      <c r="A254" s="327" t="s">
        <v>351</v>
      </c>
      <c r="B254" s="341"/>
      <c r="C254" s="341"/>
      <c r="D254" s="341"/>
      <c r="E254" s="341"/>
      <c r="F254" s="341"/>
      <c r="G254" s="341"/>
      <c r="H254" s="341"/>
      <c r="I254" s="341"/>
      <c r="J254" s="342"/>
      <c r="K254" s="269"/>
      <c r="L254" s="550"/>
    </row>
    <row r="255" spans="1:12" s="144" customFormat="1" ht="24.75" customHeight="1">
      <c r="A255" s="330" t="s">
        <v>283</v>
      </c>
      <c r="B255" s="331"/>
      <c r="C255" s="331"/>
      <c r="D255" s="331"/>
      <c r="E255" s="331"/>
      <c r="F255" s="331"/>
      <c r="G255" s="331"/>
      <c r="H255" s="331"/>
      <c r="I255" s="331"/>
      <c r="J255" s="332"/>
      <c r="K255" s="277"/>
      <c r="L255" s="547"/>
    </row>
    <row r="256" spans="1:12" s="145" customFormat="1" ht="30" customHeight="1" hidden="1" outlineLevel="1">
      <c r="A256" s="271">
        <v>1</v>
      </c>
      <c r="B256" s="155" t="s">
        <v>148</v>
      </c>
      <c r="C256" s="156"/>
      <c r="D256" s="162" t="s">
        <v>291</v>
      </c>
      <c r="E256" s="162" t="s">
        <v>291</v>
      </c>
      <c r="F256" s="158"/>
      <c r="G256" s="162" t="s">
        <v>291</v>
      </c>
      <c r="H256" s="162" t="s">
        <v>291</v>
      </c>
      <c r="I256" s="158"/>
      <c r="J256" s="162"/>
      <c r="K256" s="269"/>
      <c r="L256" s="550"/>
    </row>
    <row r="257" spans="1:12" s="145" customFormat="1" ht="30" customHeight="1" hidden="1" outlineLevel="1">
      <c r="A257" s="343">
        <v>2</v>
      </c>
      <c r="B257" s="155" t="s">
        <v>352</v>
      </c>
      <c r="C257" s="156"/>
      <c r="D257" s="156"/>
      <c r="E257" s="156"/>
      <c r="F257" s="158"/>
      <c r="G257" s="156"/>
      <c r="H257" s="156"/>
      <c r="I257" s="158"/>
      <c r="J257" s="162"/>
      <c r="K257" s="269"/>
      <c r="L257" s="550"/>
    </row>
    <row r="258" spans="1:12" s="145" customFormat="1" ht="19.5" customHeight="1" hidden="1" outlineLevel="1">
      <c r="A258" s="343"/>
      <c r="B258" s="167" t="s">
        <v>389</v>
      </c>
      <c r="C258" s="156"/>
      <c r="D258" s="156"/>
      <c r="E258" s="156"/>
      <c r="F258" s="158"/>
      <c r="G258" s="156"/>
      <c r="H258" s="156"/>
      <c r="I258" s="158"/>
      <c r="J258" s="162"/>
      <c r="K258" s="269"/>
      <c r="L258" s="550"/>
    </row>
    <row r="259" spans="1:12" s="145" customFormat="1" ht="19.5" customHeight="1" hidden="1" outlineLevel="1">
      <c r="A259" s="271">
        <v>3</v>
      </c>
      <c r="B259" s="163" t="s">
        <v>123</v>
      </c>
      <c r="C259" s="178"/>
      <c r="D259" s="179"/>
      <c r="E259" s="162"/>
      <c r="F259" s="162"/>
      <c r="G259" s="179"/>
      <c r="H259" s="162"/>
      <c r="I259" s="162"/>
      <c r="J259" s="162"/>
      <c r="K259" s="269"/>
      <c r="L259" s="550"/>
    </row>
    <row r="260" spans="1:12" s="145" customFormat="1" ht="30" customHeight="1" hidden="1" outlineLevel="1">
      <c r="A260" s="271">
        <v>4</v>
      </c>
      <c r="B260" s="163" t="s">
        <v>206</v>
      </c>
      <c r="C260" s="160" t="s">
        <v>231</v>
      </c>
      <c r="D260" s="162" t="s">
        <v>291</v>
      </c>
      <c r="E260" s="162" t="s">
        <v>291</v>
      </c>
      <c r="F260" s="158"/>
      <c r="G260" s="162" t="s">
        <v>291</v>
      </c>
      <c r="H260" s="162" t="s">
        <v>291</v>
      </c>
      <c r="I260" s="158"/>
      <c r="J260" s="162" t="s">
        <v>291</v>
      </c>
      <c r="K260" s="269"/>
      <c r="L260" s="550"/>
    </row>
    <row r="261" spans="1:12" s="145" customFormat="1" ht="30" customHeight="1" hidden="1" outlineLevel="1">
      <c r="A261" s="271">
        <v>5</v>
      </c>
      <c r="B261" s="155" t="s">
        <v>150</v>
      </c>
      <c r="C261" s="156"/>
      <c r="D261" s="162" t="s">
        <v>291</v>
      </c>
      <c r="E261" s="162" t="s">
        <v>291</v>
      </c>
      <c r="F261" s="158"/>
      <c r="G261" s="162" t="s">
        <v>291</v>
      </c>
      <c r="H261" s="162" t="s">
        <v>291</v>
      </c>
      <c r="I261" s="158"/>
      <c r="J261" s="162"/>
      <c r="K261" s="269"/>
      <c r="L261" s="550"/>
    </row>
    <row r="262" spans="1:12" s="145" customFormat="1" ht="29.25" customHeight="1" hidden="1" outlineLevel="1">
      <c r="A262" s="271">
        <v>6</v>
      </c>
      <c r="B262" s="155" t="s">
        <v>353</v>
      </c>
      <c r="C262" s="160"/>
      <c r="D262" s="160"/>
      <c r="E262" s="160"/>
      <c r="F262" s="160"/>
      <c r="G262" s="160"/>
      <c r="H262" s="160"/>
      <c r="I262" s="160"/>
      <c r="J262" s="162"/>
      <c r="K262" s="269"/>
      <c r="L262" s="550"/>
    </row>
    <row r="263" spans="1:12" s="145" customFormat="1" ht="31.5" customHeight="1" hidden="1" outlineLevel="1">
      <c r="A263" s="271">
        <v>7</v>
      </c>
      <c r="B263" s="155" t="s">
        <v>149</v>
      </c>
      <c r="C263" s="160"/>
      <c r="D263" s="160"/>
      <c r="E263" s="160"/>
      <c r="F263" s="160"/>
      <c r="G263" s="160"/>
      <c r="H263" s="160"/>
      <c r="I263" s="160"/>
      <c r="J263" s="162"/>
      <c r="K263" s="269"/>
      <c r="L263" s="550"/>
    </row>
    <row r="264" spans="1:12" s="145" customFormat="1" ht="17.25" customHeight="1" hidden="1" outlineLevel="1">
      <c r="A264" s="271">
        <v>8</v>
      </c>
      <c r="B264" s="163" t="s">
        <v>27</v>
      </c>
      <c r="C264" s="160"/>
      <c r="D264" s="160" t="s">
        <v>291</v>
      </c>
      <c r="E264" s="160" t="s">
        <v>291</v>
      </c>
      <c r="F264" s="162"/>
      <c r="G264" s="160" t="s">
        <v>291</v>
      </c>
      <c r="H264" s="160" t="s">
        <v>291</v>
      </c>
      <c r="I264" s="162"/>
      <c r="J264" s="162"/>
      <c r="K264" s="269"/>
      <c r="L264" s="550"/>
    </row>
    <row r="265" spans="1:12" s="145" customFormat="1" ht="17.25" customHeight="1" hidden="1" outlineLevel="1">
      <c r="A265" s="333">
        <v>9</v>
      </c>
      <c r="B265" s="346" t="s">
        <v>364</v>
      </c>
      <c r="C265" s="347"/>
      <c r="D265" s="347"/>
      <c r="E265" s="347"/>
      <c r="F265" s="347"/>
      <c r="G265" s="347"/>
      <c r="H265" s="347"/>
      <c r="I265" s="347"/>
      <c r="J265" s="348"/>
      <c r="K265" s="269"/>
      <c r="L265" s="550"/>
    </row>
    <row r="266" spans="1:12" s="145" customFormat="1" ht="17.25" customHeight="1" hidden="1" outlineLevel="1">
      <c r="A266" s="344"/>
      <c r="B266" s="163" t="s">
        <v>29</v>
      </c>
      <c r="C266" s="160" t="s">
        <v>231</v>
      </c>
      <c r="D266" s="160"/>
      <c r="E266" s="160"/>
      <c r="F266" s="162"/>
      <c r="G266" s="160"/>
      <c r="H266" s="160"/>
      <c r="I266" s="162"/>
      <c r="J266" s="160" t="s">
        <v>291</v>
      </c>
      <c r="K266" s="269"/>
      <c r="L266" s="550"/>
    </row>
    <row r="267" spans="1:12" s="145" customFormat="1" ht="17.25" customHeight="1" hidden="1" outlineLevel="1">
      <c r="A267" s="344"/>
      <c r="B267" s="170" t="s">
        <v>30</v>
      </c>
      <c r="C267" s="160" t="s">
        <v>231</v>
      </c>
      <c r="D267" s="170"/>
      <c r="E267" s="170"/>
      <c r="F267" s="170"/>
      <c r="G267" s="170"/>
      <c r="H267" s="170"/>
      <c r="I267" s="170"/>
      <c r="J267" s="160" t="s">
        <v>291</v>
      </c>
      <c r="K267" s="269"/>
      <c r="L267" s="550"/>
    </row>
    <row r="268" spans="1:12" s="145" customFormat="1" ht="18.75" customHeight="1" hidden="1" outlineLevel="1">
      <c r="A268" s="345"/>
      <c r="B268" s="170" t="s">
        <v>28</v>
      </c>
      <c r="C268" s="160" t="s">
        <v>231</v>
      </c>
      <c r="D268" s="170"/>
      <c r="E268" s="170"/>
      <c r="F268" s="170"/>
      <c r="G268" s="170"/>
      <c r="H268" s="170"/>
      <c r="I268" s="170"/>
      <c r="J268" s="160" t="s">
        <v>291</v>
      </c>
      <c r="K268" s="269"/>
      <c r="L268" s="550"/>
    </row>
    <row r="269" spans="1:12" s="145" customFormat="1" ht="30" customHeight="1" hidden="1" outlineLevel="1">
      <c r="A269" s="271">
        <v>10</v>
      </c>
      <c r="B269" s="163" t="s">
        <v>365</v>
      </c>
      <c r="C269" s="160" t="s">
        <v>231</v>
      </c>
      <c r="D269" s="160" t="s">
        <v>291</v>
      </c>
      <c r="E269" s="160" t="s">
        <v>291</v>
      </c>
      <c r="F269" s="180"/>
      <c r="G269" s="160" t="s">
        <v>291</v>
      </c>
      <c r="H269" s="160" t="s">
        <v>291</v>
      </c>
      <c r="I269" s="170"/>
      <c r="J269" s="160" t="s">
        <v>291</v>
      </c>
      <c r="K269" s="269"/>
      <c r="L269" s="550"/>
    </row>
    <row r="270" spans="1:12" s="145" customFormat="1" ht="19.5" customHeight="1" hidden="1" outlineLevel="1">
      <c r="A270" s="270" t="s">
        <v>300</v>
      </c>
      <c r="B270" s="155" t="s">
        <v>297</v>
      </c>
      <c r="C270" s="161"/>
      <c r="D270" s="161"/>
      <c r="E270" s="161"/>
      <c r="F270" s="161"/>
      <c r="G270" s="161"/>
      <c r="H270" s="161"/>
      <c r="I270" s="161"/>
      <c r="J270" s="158"/>
      <c r="K270" s="269"/>
      <c r="L270" s="550"/>
    </row>
    <row r="271" spans="1:12" s="144" customFormat="1" ht="24.75" customHeight="1" collapsed="1">
      <c r="A271" s="330" t="s">
        <v>284</v>
      </c>
      <c r="B271" s="331"/>
      <c r="C271" s="331"/>
      <c r="D271" s="331"/>
      <c r="E271" s="331"/>
      <c r="F271" s="331"/>
      <c r="G271" s="331"/>
      <c r="H271" s="331"/>
      <c r="I271" s="331"/>
      <c r="J271" s="332"/>
      <c r="K271" s="277"/>
      <c r="L271" s="547"/>
    </row>
    <row r="272" spans="1:12" s="145" customFormat="1" ht="30" customHeight="1" hidden="1" outlineLevel="1">
      <c r="A272" s="343">
        <v>1</v>
      </c>
      <c r="B272" s="155" t="s">
        <v>293</v>
      </c>
      <c r="C272" s="156"/>
      <c r="D272" s="157"/>
      <c r="E272" s="158"/>
      <c r="F272" s="158"/>
      <c r="G272" s="157"/>
      <c r="H272" s="158"/>
      <c r="I272" s="158"/>
      <c r="J272" s="162"/>
      <c r="K272" s="269"/>
      <c r="L272" s="550"/>
    </row>
    <row r="273" spans="1:12" s="145" customFormat="1" ht="19.5" customHeight="1" hidden="1" outlineLevel="1">
      <c r="A273" s="343"/>
      <c r="B273" s="164" t="s">
        <v>294</v>
      </c>
      <c r="C273" s="161"/>
      <c r="D273" s="157"/>
      <c r="E273" s="158"/>
      <c r="F273" s="158"/>
      <c r="G273" s="157"/>
      <c r="H273" s="158"/>
      <c r="I273" s="158"/>
      <c r="J273" s="162"/>
      <c r="K273" s="269"/>
      <c r="L273" s="550"/>
    </row>
    <row r="274" spans="1:12" s="145" customFormat="1" ht="19.5" customHeight="1" hidden="1" outlineLevel="1">
      <c r="A274" s="343"/>
      <c r="B274" s="164" t="s">
        <v>295</v>
      </c>
      <c r="C274" s="161"/>
      <c r="D274" s="157"/>
      <c r="E274" s="158"/>
      <c r="F274" s="158"/>
      <c r="G274" s="157"/>
      <c r="H274" s="158"/>
      <c r="I274" s="158"/>
      <c r="J274" s="162"/>
      <c r="K274" s="269"/>
      <c r="L274" s="550"/>
    </row>
    <row r="275" spans="1:12" s="145" customFormat="1" ht="31.5" hidden="1" outlineLevel="1">
      <c r="A275" s="271">
        <v>2</v>
      </c>
      <c r="B275" s="155" t="s">
        <v>32</v>
      </c>
      <c r="C275" s="160"/>
      <c r="D275" s="179"/>
      <c r="E275" s="162"/>
      <c r="F275" s="162"/>
      <c r="G275" s="179"/>
      <c r="H275" s="162"/>
      <c r="I275" s="162"/>
      <c r="J275" s="162"/>
      <c r="K275" s="269"/>
      <c r="L275" s="550"/>
    </row>
    <row r="276" spans="1:12" s="145" customFormat="1" ht="19.5" customHeight="1" hidden="1" outlineLevel="1">
      <c r="A276" s="271">
        <v>3</v>
      </c>
      <c r="B276" s="155" t="s">
        <v>354</v>
      </c>
      <c r="C276" s="156"/>
      <c r="D276" s="157"/>
      <c r="E276" s="158"/>
      <c r="F276" s="158"/>
      <c r="G276" s="157"/>
      <c r="H276" s="158"/>
      <c r="I276" s="158"/>
      <c r="J276" s="162"/>
      <c r="K276" s="269"/>
      <c r="L276" s="550"/>
    </row>
    <row r="277" spans="1:12" s="145" customFormat="1" ht="19.5" customHeight="1" hidden="1" outlineLevel="1">
      <c r="A277" s="270" t="s">
        <v>300</v>
      </c>
      <c r="B277" s="155" t="s">
        <v>297</v>
      </c>
      <c r="C277" s="161"/>
      <c r="D277" s="157"/>
      <c r="E277" s="158"/>
      <c r="F277" s="158"/>
      <c r="G277" s="157"/>
      <c r="H277" s="158"/>
      <c r="I277" s="158"/>
      <c r="J277" s="158"/>
      <c r="K277" s="269"/>
      <c r="L277" s="550"/>
    </row>
    <row r="278" spans="1:12" s="145" customFormat="1" ht="24.75" customHeight="1" collapsed="1">
      <c r="A278" s="327" t="s">
        <v>355</v>
      </c>
      <c r="B278" s="341"/>
      <c r="C278" s="341"/>
      <c r="D278" s="341"/>
      <c r="E278" s="341"/>
      <c r="F278" s="341"/>
      <c r="G278" s="341"/>
      <c r="H278" s="341"/>
      <c r="I278" s="341"/>
      <c r="J278" s="342"/>
      <c r="K278" s="269"/>
      <c r="L278" s="550"/>
    </row>
    <row r="279" spans="1:12" s="144" customFormat="1" ht="24.75" customHeight="1">
      <c r="A279" s="330" t="s">
        <v>285</v>
      </c>
      <c r="B279" s="331"/>
      <c r="C279" s="331"/>
      <c r="D279" s="331"/>
      <c r="E279" s="331"/>
      <c r="F279" s="331"/>
      <c r="G279" s="331"/>
      <c r="H279" s="331"/>
      <c r="I279" s="331"/>
      <c r="J279" s="332"/>
      <c r="K279" s="277"/>
      <c r="L279" s="547"/>
    </row>
    <row r="280" spans="1:12" s="145" customFormat="1" ht="30" customHeight="1" hidden="1" outlineLevel="1">
      <c r="A280" s="271">
        <v>1</v>
      </c>
      <c r="B280" s="163" t="s">
        <v>207</v>
      </c>
      <c r="C280" s="156"/>
      <c r="D280" s="162" t="s">
        <v>291</v>
      </c>
      <c r="E280" s="162" t="s">
        <v>291</v>
      </c>
      <c r="F280" s="157"/>
      <c r="G280" s="162" t="s">
        <v>291</v>
      </c>
      <c r="H280" s="162" t="s">
        <v>291</v>
      </c>
      <c r="I280" s="158"/>
      <c r="J280" s="162"/>
      <c r="K280" s="269"/>
      <c r="L280" s="550"/>
    </row>
    <row r="281" spans="1:12" s="145" customFormat="1" ht="30" customHeight="1" hidden="1" outlineLevel="1">
      <c r="A281" s="271">
        <v>2</v>
      </c>
      <c r="B281" s="155" t="s">
        <v>229</v>
      </c>
      <c r="C281" s="160" t="s">
        <v>231</v>
      </c>
      <c r="D281" s="157"/>
      <c r="E281" s="157"/>
      <c r="F281" s="157"/>
      <c r="G281" s="157"/>
      <c r="H281" s="157"/>
      <c r="I281" s="157"/>
      <c r="J281" s="162" t="s">
        <v>291</v>
      </c>
      <c r="K281" s="269"/>
      <c r="L281" s="550"/>
    </row>
    <row r="282" spans="1:12" s="145" customFormat="1" ht="31.5" hidden="1" outlineLevel="1">
      <c r="A282" s="343">
        <v>3</v>
      </c>
      <c r="B282" s="163" t="s">
        <v>371</v>
      </c>
      <c r="C282" s="156"/>
      <c r="D282" s="162" t="s">
        <v>291</v>
      </c>
      <c r="E282" s="162" t="s">
        <v>291</v>
      </c>
      <c r="F282" s="157"/>
      <c r="G282" s="162" t="s">
        <v>291</v>
      </c>
      <c r="H282" s="162" t="s">
        <v>291</v>
      </c>
      <c r="I282" s="158"/>
      <c r="J282" s="162"/>
      <c r="K282" s="269"/>
      <c r="L282" s="550"/>
    </row>
    <row r="283" spans="1:12" s="145" customFormat="1" ht="19.5" customHeight="1" hidden="1" outlineLevel="1">
      <c r="A283" s="343"/>
      <c r="B283" s="164" t="s">
        <v>191</v>
      </c>
      <c r="C283" s="156"/>
      <c r="D283" s="162" t="s">
        <v>291</v>
      </c>
      <c r="E283" s="162" t="s">
        <v>291</v>
      </c>
      <c r="F283" s="157"/>
      <c r="G283" s="162" t="s">
        <v>291</v>
      </c>
      <c r="H283" s="162" t="s">
        <v>291</v>
      </c>
      <c r="I283" s="158"/>
      <c r="J283" s="162"/>
      <c r="K283" s="269"/>
      <c r="L283" s="550"/>
    </row>
    <row r="284" spans="1:12" s="145" customFormat="1" ht="19.5" customHeight="1" hidden="1" outlineLevel="1">
      <c r="A284" s="343"/>
      <c r="B284" s="164" t="s">
        <v>192</v>
      </c>
      <c r="C284" s="156"/>
      <c r="D284" s="162" t="s">
        <v>291</v>
      </c>
      <c r="E284" s="162" t="s">
        <v>291</v>
      </c>
      <c r="F284" s="157"/>
      <c r="G284" s="162" t="s">
        <v>291</v>
      </c>
      <c r="H284" s="162" t="s">
        <v>291</v>
      </c>
      <c r="I284" s="158"/>
      <c r="J284" s="162"/>
      <c r="K284" s="269"/>
      <c r="L284" s="550"/>
    </row>
    <row r="285" spans="1:12" s="145" customFormat="1" ht="27.75" customHeight="1" hidden="1" outlineLevel="1">
      <c r="A285" s="271">
        <v>4</v>
      </c>
      <c r="B285" s="155" t="s">
        <v>141</v>
      </c>
      <c r="C285" s="181"/>
      <c r="D285" s="160" t="s">
        <v>291</v>
      </c>
      <c r="E285" s="160" t="s">
        <v>291</v>
      </c>
      <c r="F285" s="179"/>
      <c r="G285" s="160" t="s">
        <v>291</v>
      </c>
      <c r="H285" s="160" t="s">
        <v>291</v>
      </c>
      <c r="I285" s="162"/>
      <c r="J285" s="162"/>
      <c r="K285" s="269"/>
      <c r="L285" s="550"/>
    </row>
    <row r="286" spans="1:12" s="145" customFormat="1" ht="19.5" customHeight="1" hidden="1" outlineLevel="1">
      <c r="A286" s="270" t="s">
        <v>300</v>
      </c>
      <c r="B286" s="155" t="s">
        <v>297</v>
      </c>
      <c r="C286" s="156"/>
      <c r="D286" s="156"/>
      <c r="E286" s="156"/>
      <c r="F286" s="156"/>
      <c r="G286" s="156"/>
      <c r="H286" s="156"/>
      <c r="I286" s="156"/>
      <c r="J286" s="158"/>
      <c r="K286" s="269"/>
      <c r="L286" s="550"/>
    </row>
    <row r="287" spans="1:12" s="144" customFormat="1" ht="24.75" customHeight="1" collapsed="1">
      <c r="A287" s="330" t="s">
        <v>286</v>
      </c>
      <c r="B287" s="331"/>
      <c r="C287" s="331"/>
      <c r="D287" s="331"/>
      <c r="E287" s="331"/>
      <c r="F287" s="331"/>
      <c r="G287" s="331"/>
      <c r="H287" s="331"/>
      <c r="I287" s="331"/>
      <c r="J287" s="332"/>
      <c r="K287" s="277"/>
      <c r="L287" s="547"/>
    </row>
    <row r="288" spans="1:12" s="145" customFormat="1" ht="30" customHeight="1" hidden="1" outlineLevel="1">
      <c r="A288" s="271">
        <v>1</v>
      </c>
      <c r="B288" s="155" t="s">
        <v>228</v>
      </c>
      <c r="C288" s="156"/>
      <c r="D288" s="162" t="s">
        <v>291</v>
      </c>
      <c r="E288" s="162" t="s">
        <v>291</v>
      </c>
      <c r="F288" s="157"/>
      <c r="G288" s="162" t="s">
        <v>291</v>
      </c>
      <c r="H288" s="162" t="s">
        <v>291</v>
      </c>
      <c r="I288" s="158"/>
      <c r="J288" s="162"/>
      <c r="K288" s="269"/>
      <c r="L288" s="550"/>
    </row>
    <row r="289" spans="1:12" s="145" customFormat="1" ht="30" customHeight="1" hidden="1" outlineLevel="1">
      <c r="A289" s="271">
        <v>2</v>
      </c>
      <c r="B289" s="155" t="s">
        <v>372</v>
      </c>
      <c r="C289" s="156"/>
      <c r="D289" s="162" t="s">
        <v>291</v>
      </c>
      <c r="E289" s="162" t="s">
        <v>291</v>
      </c>
      <c r="F289" s="157"/>
      <c r="G289" s="162" t="s">
        <v>291</v>
      </c>
      <c r="H289" s="162" t="s">
        <v>291</v>
      </c>
      <c r="I289" s="158"/>
      <c r="J289" s="162"/>
      <c r="K289" s="269"/>
      <c r="L289" s="550"/>
    </row>
    <row r="290" spans="1:12" s="145" customFormat="1" ht="30" customHeight="1" hidden="1" outlineLevel="1">
      <c r="A290" s="271">
        <v>3</v>
      </c>
      <c r="B290" s="163" t="s">
        <v>209</v>
      </c>
      <c r="C290" s="160"/>
      <c r="D290" s="157"/>
      <c r="E290" s="157"/>
      <c r="F290" s="157"/>
      <c r="G290" s="157"/>
      <c r="H290" s="157"/>
      <c r="I290" s="157"/>
      <c r="J290" s="162"/>
      <c r="K290" s="269"/>
      <c r="L290" s="550"/>
    </row>
    <row r="291" spans="1:12" s="145" customFormat="1" ht="19.5" customHeight="1" hidden="1" outlineLevel="1">
      <c r="A291" s="270" t="s">
        <v>300</v>
      </c>
      <c r="B291" s="155" t="s">
        <v>297</v>
      </c>
      <c r="C291" s="161"/>
      <c r="D291" s="157"/>
      <c r="E291" s="157"/>
      <c r="F291" s="157"/>
      <c r="G291" s="157"/>
      <c r="H291" s="157"/>
      <c r="I291" s="158"/>
      <c r="J291" s="158"/>
      <c r="K291" s="269"/>
      <c r="L291" s="550"/>
    </row>
    <row r="292" spans="1:12" s="144" customFormat="1" ht="24.75" customHeight="1" collapsed="1">
      <c r="A292" s="330" t="s">
        <v>287</v>
      </c>
      <c r="B292" s="331"/>
      <c r="C292" s="331"/>
      <c r="D292" s="331"/>
      <c r="E292" s="331"/>
      <c r="F292" s="331"/>
      <c r="G292" s="331"/>
      <c r="H292" s="331"/>
      <c r="I292" s="331"/>
      <c r="J292" s="332"/>
      <c r="K292" s="277"/>
      <c r="L292" s="547"/>
    </row>
    <row r="293" spans="1:12" s="145" customFormat="1" ht="27.75" customHeight="1" hidden="1" outlineLevel="1">
      <c r="A293" s="343">
        <v>1</v>
      </c>
      <c r="B293" s="155" t="s">
        <v>208</v>
      </c>
      <c r="C293" s="156"/>
      <c r="D293" s="157"/>
      <c r="E293" s="157"/>
      <c r="F293" s="157"/>
      <c r="G293" s="157"/>
      <c r="H293" s="158"/>
      <c r="I293" s="158"/>
      <c r="J293" s="162"/>
      <c r="K293" s="269"/>
      <c r="L293" s="550"/>
    </row>
    <row r="294" spans="1:12" s="145" customFormat="1" ht="19.5" customHeight="1" hidden="1" outlineLevel="1">
      <c r="A294" s="343"/>
      <c r="B294" s="167" t="s">
        <v>193</v>
      </c>
      <c r="C294" s="168"/>
      <c r="D294" s="157"/>
      <c r="E294" s="157"/>
      <c r="F294" s="157"/>
      <c r="G294" s="157"/>
      <c r="H294" s="158"/>
      <c r="I294" s="158"/>
      <c r="J294" s="162"/>
      <c r="K294" s="269"/>
      <c r="L294" s="550"/>
    </row>
    <row r="295" spans="1:12" s="145" customFormat="1" ht="19.5" customHeight="1" hidden="1" outlineLevel="1">
      <c r="A295" s="343"/>
      <c r="B295" s="167" t="s">
        <v>194</v>
      </c>
      <c r="C295" s="168"/>
      <c r="D295" s="157"/>
      <c r="E295" s="157"/>
      <c r="F295" s="157"/>
      <c r="G295" s="157"/>
      <c r="H295" s="158"/>
      <c r="I295" s="158"/>
      <c r="J295" s="162"/>
      <c r="K295" s="269"/>
      <c r="L295" s="550"/>
    </row>
    <row r="296" spans="1:12" s="145" customFormat="1" ht="19.5" customHeight="1" hidden="1" outlineLevel="1">
      <c r="A296" s="270" t="s">
        <v>300</v>
      </c>
      <c r="B296" s="155" t="s">
        <v>297</v>
      </c>
      <c r="C296" s="161"/>
      <c r="D296" s="157"/>
      <c r="E296" s="158"/>
      <c r="F296" s="158"/>
      <c r="G296" s="157"/>
      <c r="H296" s="158"/>
      <c r="I296" s="158"/>
      <c r="J296" s="158"/>
      <c r="K296" s="269"/>
      <c r="L296" s="550"/>
    </row>
    <row r="297" spans="1:12" s="145" customFormat="1" ht="24.75" customHeight="1" collapsed="1">
      <c r="A297" s="327" t="s">
        <v>288</v>
      </c>
      <c r="B297" s="328"/>
      <c r="C297" s="328"/>
      <c r="D297" s="328"/>
      <c r="E297" s="328"/>
      <c r="F297" s="328"/>
      <c r="G297" s="328"/>
      <c r="H297" s="328"/>
      <c r="I297" s="328"/>
      <c r="J297" s="329"/>
      <c r="K297" s="269"/>
      <c r="L297" s="550"/>
    </row>
    <row r="298" spans="1:12" s="145" customFormat="1" ht="19.5" customHeight="1" hidden="1" outlineLevel="1">
      <c r="A298" s="173">
        <v>1</v>
      </c>
      <c r="B298" s="182" t="s">
        <v>289</v>
      </c>
      <c r="C298" s="183"/>
      <c r="D298" s="184" t="s">
        <v>291</v>
      </c>
      <c r="E298" s="184" t="s">
        <v>291</v>
      </c>
      <c r="F298" s="183"/>
      <c r="G298" s="184" t="s">
        <v>291</v>
      </c>
      <c r="H298" s="184" t="s">
        <v>291</v>
      </c>
      <c r="I298" s="183"/>
      <c r="J298" s="184"/>
      <c r="K298" s="269"/>
      <c r="L298" s="550"/>
    </row>
    <row r="299" spans="1:12" s="145" customFormat="1" ht="19.5" customHeight="1" collapsed="1">
      <c r="A299" s="330" t="s">
        <v>142</v>
      </c>
      <c r="B299" s="331"/>
      <c r="C299" s="331"/>
      <c r="D299" s="331"/>
      <c r="E299" s="331"/>
      <c r="F299" s="331"/>
      <c r="G299" s="331"/>
      <c r="H299" s="331"/>
      <c r="I299" s="331"/>
      <c r="J299" s="332"/>
      <c r="K299" s="269"/>
      <c r="L299" s="550"/>
    </row>
    <row r="300" spans="1:12" s="145" customFormat="1" ht="31.5" customHeight="1" hidden="1" outlineLevel="1">
      <c r="A300" s="333">
        <v>1</v>
      </c>
      <c r="B300" s="163" t="s">
        <v>145</v>
      </c>
      <c r="C300" s="178"/>
      <c r="D300" s="179"/>
      <c r="E300" s="179"/>
      <c r="F300" s="179"/>
      <c r="G300" s="179"/>
      <c r="H300" s="162"/>
      <c r="I300" s="162"/>
      <c r="J300" s="162"/>
      <c r="K300" s="269"/>
      <c r="L300" s="550"/>
    </row>
    <row r="301" spans="1:12" s="145" customFormat="1" ht="18.75" customHeight="1" hidden="1" outlineLevel="1">
      <c r="A301" s="334"/>
      <c r="B301" s="163" t="s">
        <v>176</v>
      </c>
      <c r="C301" s="160" t="s">
        <v>231</v>
      </c>
      <c r="D301" s="179"/>
      <c r="E301" s="179"/>
      <c r="F301" s="179"/>
      <c r="G301" s="179"/>
      <c r="H301" s="162"/>
      <c r="I301" s="162"/>
      <c r="J301" s="184" t="s">
        <v>291</v>
      </c>
      <c r="K301" s="269"/>
      <c r="L301" s="550"/>
    </row>
    <row r="302" spans="1:12" s="145" customFormat="1" ht="19.5" customHeight="1" hidden="1" outlineLevel="1">
      <c r="A302" s="334"/>
      <c r="B302" s="163" t="s">
        <v>177</v>
      </c>
      <c r="C302" s="160" t="s">
        <v>231</v>
      </c>
      <c r="D302" s="179"/>
      <c r="E302" s="179"/>
      <c r="F302" s="179"/>
      <c r="G302" s="179"/>
      <c r="H302" s="162"/>
      <c r="I302" s="162"/>
      <c r="J302" s="184" t="s">
        <v>291</v>
      </c>
      <c r="K302" s="269"/>
      <c r="L302" s="550"/>
    </row>
    <row r="303" spans="1:12" s="145" customFormat="1" ht="21" customHeight="1" hidden="1" outlineLevel="1">
      <c r="A303" s="334"/>
      <c r="B303" s="163" t="s">
        <v>178</v>
      </c>
      <c r="C303" s="160" t="s">
        <v>231</v>
      </c>
      <c r="D303" s="179"/>
      <c r="E303" s="179"/>
      <c r="F303" s="179"/>
      <c r="G303" s="179"/>
      <c r="H303" s="162"/>
      <c r="I303" s="162"/>
      <c r="J303" s="184" t="s">
        <v>291</v>
      </c>
      <c r="K303" s="269"/>
      <c r="L303" s="550"/>
    </row>
    <row r="304" spans="1:12" s="145" customFormat="1" ht="21" customHeight="1" hidden="1" outlineLevel="1">
      <c r="A304" s="335"/>
      <c r="B304" s="163" t="s">
        <v>38</v>
      </c>
      <c r="C304" s="190" t="s">
        <v>231</v>
      </c>
      <c r="D304" s="185"/>
      <c r="E304" s="185"/>
      <c r="F304" s="185"/>
      <c r="G304" s="185"/>
      <c r="H304" s="174"/>
      <c r="I304" s="174"/>
      <c r="J304" s="191" t="s">
        <v>291</v>
      </c>
      <c r="K304" s="269"/>
      <c r="L304" s="550"/>
    </row>
    <row r="305" spans="1:12" s="145" customFormat="1" ht="21" customHeight="1" hidden="1" outlineLevel="1">
      <c r="A305" s="271">
        <v>2</v>
      </c>
      <c r="B305" s="163" t="s">
        <v>179</v>
      </c>
      <c r="C305" s="160" t="s">
        <v>231</v>
      </c>
      <c r="D305" s="179"/>
      <c r="E305" s="179"/>
      <c r="F305" s="179"/>
      <c r="G305" s="179"/>
      <c r="H305" s="162"/>
      <c r="I305" s="162"/>
      <c r="J305" s="184" t="s">
        <v>291</v>
      </c>
      <c r="K305" s="269"/>
      <c r="L305" s="550"/>
    </row>
    <row r="306" spans="1:12" s="144" customFormat="1" ht="20.25" customHeight="1" collapsed="1">
      <c r="A306" s="336" t="s">
        <v>314</v>
      </c>
      <c r="B306" s="337"/>
      <c r="C306" s="338"/>
      <c r="D306" s="339"/>
      <c r="E306" s="339"/>
      <c r="F306" s="339"/>
      <c r="G306" s="339"/>
      <c r="H306" s="339"/>
      <c r="I306" s="339"/>
      <c r="J306" s="340"/>
      <c r="K306" s="277"/>
      <c r="L306" s="547"/>
    </row>
    <row r="307" spans="1:12" s="144" customFormat="1" ht="15.75">
      <c r="A307" s="323" t="s">
        <v>45</v>
      </c>
      <c r="B307" s="324"/>
      <c r="C307" s="324"/>
      <c r="D307" s="324"/>
      <c r="E307" s="324"/>
      <c r="F307" s="324"/>
      <c r="G307" s="324"/>
      <c r="H307" s="324"/>
      <c r="I307" s="324"/>
      <c r="J307" s="325"/>
      <c r="K307" s="277"/>
      <c r="L307" s="547"/>
    </row>
    <row r="308" spans="1:12" s="144" customFormat="1" ht="15.75">
      <c r="A308" s="323" t="s">
        <v>31</v>
      </c>
      <c r="B308" s="324"/>
      <c r="C308" s="324"/>
      <c r="D308" s="324"/>
      <c r="E308" s="324"/>
      <c r="F308" s="324"/>
      <c r="G308" s="324"/>
      <c r="H308" s="324"/>
      <c r="I308" s="324"/>
      <c r="J308" s="325"/>
      <c r="K308" s="277"/>
      <c r="L308" s="547"/>
    </row>
    <row r="309" spans="1:12" s="144" customFormat="1" ht="14.25" customHeight="1">
      <c r="A309" s="326" t="s">
        <v>309</v>
      </c>
      <c r="B309" s="326"/>
      <c r="C309" s="186"/>
      <c r="D309" s="186"/>
      <c r="E309" s="186"/>
      <c r="F309" s="186"/>
      <c r="G309" s="186"/>
      <c r="H309" s="186"/>
      <c r="I309" s="186"/>
      <c r="J309" s="186"/>
      <c r="K309" s="277"/>
      <c r="L309" s="547"/>
    </row>
    <row r="310" spans="1:12" s="144" customFormat="1" ht="15.75">
      <c r="A310" s="187" t="s">
        <v>310</v>
      </c>
      <c r="B310" s="186"/>
      <c r="C310" s="186"/>
      <c r="D310" s="186"/>
      <c r="E310" s="186"/>
      <c r="F310" s="186"/>
      <c r="G310" s="186"/>
      <c r="H310" s="186"/>
      <c r="I310" s="186"/>
      <c r="J310" s="186"/>
      <c r="K310" s="277"/>
      <c r="L310" s="547"/>
    </row>
  </sheetData>
  <sheetProtection/>
  <mergeCells count="97">
    <mergeCell ref="A1:G1"/>
    <mergeCell ref="A3:B3"/>
    <mergeCell ref="C3:J3"/>
    <mergeCell ref="A5:B5"/>
    <mergeCell ref="C5:J5"/>
    <mergeCell ref="A7:B7"/>
    <mergeCell ref="C7:J7"/>
    <mergeCell ref="A9:J9"/>
    <mergeCell ref="A10:J10"/>
    <mergeCell ref="A11:J11"/>
    <mergeCell ref="A12:I12"/>
    <mergeCell ref="A13:J13"/>
    <mergeCell ref="A14:J14"/>
    <mergeCell ref="A15:J15"/>
    <mergeCell ref="A16:J16"/>
    <mergeCell ref="A17:J17"/>
    <mergeCell ref="A18:I18"/>
    <mergeCell ref="A19:A20"/>
    <mergeCell ref="B19:B20"/>
    <mergeCell ref="C19:C20"/>
    <mergeCell ref="D19:F19"/>
    <mergeCell ref="G19:I19"/>
    <mergeCell ref="J19:J20"/>
    <mergeCell ref="A22:J22"/>
    <mergeCell ref="A23:J23"/>
    <mergeCell ref="A27:J27"/>
    <mergeCell ref="A31:J31"/>
    <mergeCell ref="A32:A37"/>
    <mergeCell ref="A39:J39"/>
    <mergeCell ref="A43:J43"/>
    <mergeCell ref="A46:J46"/>
    <mergeCell ref="A47:J47"/>
    <mergeCell ref="A49:A50"/>
    <mergeCell ref="A56:J56"/>
    <mergeCell ref="A61:J61"/>
    <mergeCell ref="A65:A68"/>
    <mergeCell ref="A73:J73"/>
    <mergeCell ref="A74:J74"/>
    <mergeCell ref="A78:J78"/>
    <mergeCell ref="A81:J81"/>
    <mergeCell ref="A87:J87"/>
    <mergeCell ref="A92:J92"/>
    <mergeCell ref="A93:A95"/>
    <mergeCell ref="A97:J97"/>
    <mergeCell ref="A98:J98"/>
    <mergeCell ref="A103:A105"/>
    <mergeCell ref="A110:J110"/>
    <mergeCell ref="A113:J113"/>
    <mergeCell ref="A120:J120"/>
    <mergeCell ref="A121:J121"/>
    <mergeCell ref="A122:A124"/>
    <mergeCell ref="A130:J130"/>
    <mergeCell ref="A132:A135"/>
    <mergeCell ref="A138:J138"/>
    <mergeCell ref="A143:J143"/>
    <mergeCell ref="A147:J147"/>
    <mergeCell ref="A148:J148"/>
    <mergeCell ref="A149:A157"/>
    <mergeCell ref="A159:A165"/>
    <mergeCell ref="A166:A172"/>
    <mergeCell ref="A174:J174"/>
    <mergeCell ref="A175:A183"/>
    <mergeCell ref="A184:A190"/>
    <mergeCell ref="A191:A193"/>
    <mergeCell ref="A194:A200"/>
    <mergeCell ref="A204:J204"/>
    <mergeCell ref="A205:A213"/>
    <mergeCell ref="A216:J216"/>
    <mergeCell ref="A217:A225"/>
    <mergeCell ref="A226:A232"/>
    <mergeCell ref="A234:J234"/>
    <mergeCell ref="A235:J235"/>
    <mergeCell ref="A236:A237"/>
    <mergeCell ref="A241:J241"/>
    <mergeCell ref="A248:J248"/>
    <mergeCell ref="A251:J251"/>
    <mergeCell ref="A254:J254"/>
    <mergeCell ref="A255:J255"/>
    <mergeCell ref="A257:A258"/>
    <mergeCell ref="A265:A268"/>
    <mergeCell ref="B265:J265"/>
    <mergeCell ref="A271:J271"/>
    <mergeCell ref="A272:A274"/>
    <mergeCell ref="A278:J278"/>
    <mergeCell ref="A279:J279"/>
    <mergeCell ref="A282:A284"/>
    <mergeCell ref="A287:J287"/>
    <mergeCell ref="A292:J292"/>
    <mergeCell ref="A293:A295"/>
    <mergeCell ref="A308:J308"/>
    <mergeCell ref="A309:B309"/>
    <mergeCell ref="A297:J297"/>
    <mergeCell ref="A299:J299"/>
    <mergeCell ref="A300:A304"/>
    <mergeCell ref="A306:B306"/>
    <mergeCell ref="C306:J306"/>
    <mergeCell ref="A307:J307"/>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C34"/>
  <sheetViews>
    <sheetView view="pageBreakPreview" zoomScale="120" zoomScaleSheetLayoutView="120" zoomScalePageLayoutView="0" workbookViewId="0" topLeftCell="A19">
      <selection activeCell="G26" sqref="G26"/>
    </sheetView>
  </sheetViews>
  <sheetFormatPr defaultColWidth="9.140625" defaultRowHeight="12.75"/>
  <cols>
    <col min="1" max="1" width="22.00390625" style="187" customWidth="1"/>
    <col min="2" max="2" width="12.8515625" style="187" customWidth="1"/>
    <col min="3" max="13" width="8.7109375" style="187" customWidth="1"/>
    <col min="14" max="16384" width="9.140625" style="187" customWidth="1"/>
  </cols>
  <sheetData>
    <row r="1" spans="1:13" ht="18" customHeight="1">
      <c r="A1" s="394" t="s">
        <v>52</v>
      </c>
      <c r="B1" s="394"/>
      <c r="C1" s="394"/>
      <c r="D1" s="394"/>
      <c r="E1" s="394"/>
      <c r="F1" s="394"/>
      <c r="G1" s="394"/>
      <c r="H1" s="394"/>
      <c r="I1" s="394"/>
      <c r="J1" s="394"/>
      <c r="K1" s="394"/>
      <c r="L1" s="394"/>
      <c r="M1" s="394"/>
    </row>
    <row r="2" spans="1:29" ht="14.25" customHeight="1">
      <c r="A2" s="199"/>
      <c r="B2" s="192"/>
      <c r="C2" s="192"/>
      <c r="D2" s="193"/>
      <c r="E2" s="193"/>
      <c r="F2" s="193"/>
      <c r="G2" s="193"/>
      <c r="H2" s="193"/>
      <c r="I2" s="193"/>
      <c r="J2" s="193"/>
      <c r="K2" s="193"/>
      <c r="L2" s="193"/>
      <c r="M2" s="193"/>
      <c r="N2" s="200"/>
      <c r="O2" s="200"/>
      <c r="P2" s="200"/>
      <c r="Q2" s="200"/>
      <c r="R2" s="200"/>
      <c r="S2" s="200"/>
      <c r="T2" s="200"/>
      <c r="U2" s="200"/>
      <c r="V2" s="200"/>
      <c r="W2" s="200"/>
      <c r="X2" s="200"/>
      <c r="Y2" s="200"/>
      <c r="Z2" s="200"/>
      <c r="AA2" s="200"/>
      <c r="AB2" s="200"/>
      <c r="AC2" s="200"/>
    </row>
    <row r="3" spans="1:29" ht="47.25" customHeight="1">
      <c r="A3" s="201" t="s">
        <v>290</v>
      </c>
      <c r="B3" s="403" t="s">
        <v>407</v>
      </c>
      <c r="C3" s="403"/>
      <c r="D3" s="403"/>
      <c r="E3" s="403"/>
      <c r="F3" s="403"/>
      <c r="G3" s="403"/>
      <c r="H3" s="403"/>
      <c r="I3" s="403"/>
      <c r="J3" s="403"/>
      <c r="K3" s="403"/>
      <c r="L3" s="403"/>
      <c r="M3" s="403"/>
      <c r="N3" s="200"/>
      <c r="O3" s="200"/>
      <c r="P3" s="200"/>
      <c r="Q3" s="200"/>
      <c r="R3" s="200"/>
      <c r="S3" s="200"/>
      <c r="T3" s="200"/>
      <c r="U3" s="200"/>
      <c r="V3" s="200"/>
      <c r="W3" s="200"/>
      <c r="X3" s="200"/>
      <c r="Y3" s="200"/>
      <c r="Z3" s="200"/>
      <c r="AA3" s="200"/>
      <c r="AB3" s="200"/>
      <c r="AC3" s="200"/>
    </row>
    <row r="4" spans="1:29" ht="12.75" customHeight="1">
      <c r="A4" s="202"/>
      <c r="B4" s="194"/>
      <c r="C4" s="194"/>
      <c r="D4" s="194"/>
      <c r="E4" s="194"/>
      <c r="F4" s="194"/>
      <c r="G4" s="194"/>
      <c r="H4" s="194"/>
      <c r="I4" s="194"/>
      <c r="J4" s="194"/>
      <c r="K4" s="194"/>
      <c r="L4" s="194"/>
      <c r="M4" s="194"/>
      <c r="N4" s="195"/>
      <c r="O4" s="195"/>
      <c r="P4" s="200"/>
      <c r="Q4" s="200"/>
      <c r="R4" s="200"/>
      <c r="S4" s="200"/>
      <c r="T4" s="200"/>
      <c r="U4" s="200"/>
      <c r="V4" s="200"/>
      <c r="W4" s="200"/>
      <c r="X4" s="200"/>
      <c r="Y4" s="200"/>
      <c r="Z4" s="200"/>
      <c r="AA4" s="200"/>
      <c r="AB4" s="200"/>
      <c r="AC4" s="200"/>
    </row>
    <row r="5" spans="1:29" ht="14.25" customHeight="1">
      <c r="A5" s="202" t="s">
        <v>306</v>
      </c>
      <c r="B5" s="404" t="s">
        <v>408</v>
      </c>
      <c r="C5" s="404"/>
      <c r="D5" s="404"/>
      <c r="E5" s="404"/>
      <c r="F5" s="404"/>
      <c r="G5" s="404"/>
      <c r="H5" s="404"/>
      <c r="I5" s="404"/>
      <c r="J5" s="404"/>
      <c r="K5" s="404"/>
      <c r="L5" s="404"/>
      <c r="M5" s="404"/>
      <c r="N5" s="200"/>
      <c r="O5" s="200"/>
      <c r="P5" s="200"/>
      <c r="Q5" s="200"/>
      <c r="R5" s="200"/>
      <c r="S5" s="200"/>
      <c r="T5" s="200"/>
      <c r="U5" s="200"/>
      <c r="V5" s="200"/>
      <c r="W5" s="200"/>
      <c r="X5" s="200"/>
      <c r="Y5" s="200"/>
      <c r="Z5" s="200"/>
      <c r="AA5" s="200"/>
      <c r="AB5" s="200"/>
      <c r="AC5" s="200"/>
    </row>
    <row r="6" spans="1:29" ht="13.5" customHeight="1">
      <c r="A6" s="202"/>
      <c r="N6" s="200"/>
      <c r="O6" s="200"/>
      <c r="P6" s="200"/>
      <c r="Q6" s="200"/>
      <c r="R6" s="200"/>
      <c r="S6" s="200"/>
      <c r="T6" s="200"/>
      <c r="U6" s="200"/>
      <c r="V6" s="200"/>
      <c r="W6" s="200"/>
      <c r="X6" s="200"/>
      <c r="Y6" s="200"/>
      <c r="Z6" s="200"/>
      <c r="AA6" s="200"/>
      <c r="AB6" s="200"/>
      <c r="AC6" s="200"/>
    </row>
    <row r="7" spans="1:29" ht="13.5" customHeight="1">
      <c r="A7" s="202" t="s">
        <v>307</v>
      </c>
      <c r="B7" s="404" t="s">
        <v>427</v>
      </c>
      <c r="C7" s="404"/>
      <c r="D7" s="404"/>
      <c r="E7" s="404"/>
      <c r="F7" s="404"/>
      <c r="G7" s="404"/>
      <c r="H7" s="404"/>
      <c r="I7" s="404"/>
      <c r="J7" s="404"/>
      <c r="K7" s="404"/>
      <c r="L7" s="404"/>
      <c r="M7" s="404"/>
      <c r="N7" s="200"/>
      <c r="O7" s="200"/>
      <c r="P7" s="200"/>
      <c r="Q7" s="200"/>
      <c r="R7" s="200"/>
      <c r="S7" s="200"/>
      <c r="T7" s="200"/>
      <c r="U7" s="200"/>
      <c r="V7" s="200"/>
      <c r="W7" s="200"/>
      <c r="X7" s="200"/>
      <c r="Y7" s="200"/>
      <c r="Z7" s="200"/>
      <c r="AA7" s="200"/>
      <c r="AB7" s="200"/>
      <c r="AC7" s="200"/>
    </row>
    <row r="8" spans="1:29" ht="13.5" customHeight="1">
      <c r="A8" s="202"/>
      <c r="B8" s="203"/>
      <c r="C8" s="203"/>
      <c r="D8" s="203"/>
      <c r="E8" s="203"/>
      <c r="F8" s="203"/>
      <c r="G8" s="203"/>
      <c r="H8" s="203"/>
      <c r="I8" s="203"/>
      <c r="J8" s="203"/>
      <c r="K8" s="203"/>
      <c r="L8" s="203"/>
      <c r="M8" s="203"/>
      <c r="N8" s="200"/>
      <c r="O8" s="200"/>
      <c r="P8" s="200"/>
      <c r="Q8" s="200"/>
      <c r="R8" s="200"/>
      <c r="S8" s="200"/>
      <c r="T8" s="200"/>
      <c r="U8" s="200"/>
      <c r="V8" s="200"/>
      <c r="W8" s="200"/>
      <c r="X8" s="200"/>
      <c r="Y8" s="200"/>
      <c r="Z8" s="200"/>
      <c r="AA8" s="200"/>
      <c r="AB8" s="200"/>
      <c r="AC8" s="200"/>
    </row>
    <row r="9" spans="1:13" ht="51.75" customHeight="1">
      <c r="A9" s="402" t="s">
        <v>411</v>
      </c>
      <c r="B9" s="402"/>
      <c r="C9" s="402"/>
      <c r="D9" s="402"/>
      <c r="E9" s="402"/>
      <c r="F9" s="402"/>
      <c r="G9" s="402"/>
      <c r="H9" s="402"/>
      <c r="I9" s="402"/>
      <c r="J9" s="402"/>
      <c r="K9" s="402"/>
      <c r="L9" s="402"/>
      <c r="M9" s="402"/>
    </row>
    <row r="10" spans="1:13" ht="19.5" customHeight="1">
      <c r="A10" s="204"/>
      <c r="B10" s="205"/>
      <c r="C10" s="205"/>
      <c r="D10" s="205"/>
      <c r="E10" s="205"/>
      <c r="F10" s="205"/>
      <c r="G10" s="205"/>
      <c r="H10" s="205"/>
      <c r="I10" s="205"/>
      <c r="J10" s="205"/>
      <c r="K10" s="205"/>
      <c r="L10" s="205"/>
      <c r="M10" s="205"/>
    </row>
    <row r="11" spans="1:13" ht="15" customHeight="1">
      <c r="A11" s="395" t="s">
        <v>315</v>
      </c>
      <c r="B11" s="395"/>
      <c r="C11" s="395"/>
      <c r="D11" s="395"/>
      <c r="E11" s="395"/>
      <c r="F11" s="395"/>
      <c r="G11" s="395"/>
      <c r="H11" s="395"/>
      <c r="I11" s="395"/>
      <c r="J11" s="395"/>
      <c r="K11" s="395"/>
      <c r="L11" s="395"/>
      <c r="M11" s="395"/>
    </row>
    <row r="12" spans="1:13" ht="13.5" customHeight="1">
      <c r="A12" s="395" t="s">
        <v>316</v>
      </c>
      <c r="B12" s="395"/>
      <c r="C12" s="395"/>
      <c r="D12" s="395"/>
      <c r="E12" s="395"/>
      <c r="F12" s="395"/>
      <c r="G12" s="395"/>
      <c r="H12" s="395"/>
      <c r="I12" s="395"/>
      <c r="J12" s="395"/>
      <c r="K12" s="395"/>
      <c r="L12" s="395"/>
      <c r="M12" s="395"/>
    </row>
    <row r="13" spans="1:13" ht="15" customHeight="1">
      <c r="A13" s="395" t="s">
        <v>317</v>
      </c>
      <c r="B13" s="395"/>
      <c r="C13" s="395"/>
      <c r="D13" s="395"/>
      <c r="E13" s="395"/>
      <c r="F13" s="395"/>
      <c r="G13" s="395"/>
      <c r="H13" s="395"/>
      <c r="I13" s="395"/>
      <c r="J13" s="395"/>
      <c r="K13" s="395"/>
      <c r="L13" s="395"/>
      <c r="M13" s="395"/>
    </row>
    <row r="14" spans="1:29" ht="13.5" customHeight="1" thickBot="1">
      <c r="A14" s="202"/>
      <c r="B14" s="203"/>
      <c r="C14" s="203"/>
      <c r="D14" s="203"/>
      <c r="E14" s="203"/>
      <c r="F14" s="203"/>
      <c r="G14" s="203"/>
      <c r="H14" s="203"/>
      <c r="I14" s="203"/>
      <c r="J14" s="203"/>
      <c r="K14" s="203"/>
      <c r="L14" s="203"/>
      <c r="M14" s="203"/>
      <c r="N14" s="200"/>
      <c r="O14" s="200"/>
      <c r="P14" s="200"/>
      <c r="Q14" s="200"/>
      <c r="R14" s="200"/>
      <c r="S14" s="200"/>
      <c r="T14" s="200"/>
      <c r="U14" s="200"/>
      <c r="V14" s="200"/>
      <c r="W14" s="200"/>
      <c r="X14" s="200"/>
      <c r="Y14" s="200"/>
      <c r="Z14" s="200"/>
      <c r="AA14" s="200"/>
      <c r="AB14" s="200"/>
      <c r="AC14" s="200"/>
    </row>
    <row r="15" spans="1:13" ht="18" customHeight="1">
      <c r="A15" s="396" t="s">
        <v>318</v>
      </c>
      <c r="B15" s="398" t="s">
        <v>215</v>
      </c>
      <c r="C15" s="399"/>
      <c r="D15" s="399"/>
      <c r="E15" s="399"/>
      <c r="F15" s="399"/>
      <c r="G15" s="399"/>
      <c r="H15" s="399"/>
      <c r="I15" s="399"/>
      <c r="J15" s="399"/>
      <c r="K15" s="399"/>
      <c r="L15" s="399"/>
      <c r="M15" s="400"/>
    </row>
    <row r="16" spans="1:13" ht="63" customHeight="1">
      <c r="A16" s="397"/>
      <c r="B16" s="401" t="s">
        <v>216</v>
      </c>
      <c r="C16" s="401"/>
      <c r="D16" s="401"/>
      <c r="E16" s="401" t="s">
        <v>217</v>
      </c>
      <c r="F16" s="401"/>
      <c r="G16" s="401"/>
      <c r="H16" s="401" t="s">
        <v>219</v>
      </c>
      <c r="I16" s="401"/>
      <c r="J16" s="401"/>
      <c r="K16" s="401" t="s">
        <v>218</v>
      </c>
      <c r="L16" s="401"/>
      <c r="M16" s="405"/>
    </row>
    <row r="17" spans="1:13" ht="24.75" customHeight="1">
      <c r="A17" s="397"/>
      <c r="B17" s="206" t="s">
        <v>312</v>
      </c>
      <c r="C17" s="198" t="s">
        <v>313</v>
      </c>
      <c r="D17" s="198" t="s">
        <v>308</v>
      </c>
      <c r="E17" s="198" t="str">
        <f>B17</f>
        <v>K</v>
      </c>
      <c r="F17" s="198" t="str">
        <f>C17</f>
        <v>M</v>
      </c>
      <c r="G17" s="198" t="str">
        <f>D17</f>
        <v>Ogółem</v>
      </c>
      <c r="H17" s="198" t="str">
        <f>B17</f>
        <v>K</v>
      </c>
      <c r="I17" s="198" t="str">
        <f>C17</f>
        <v>M</v>
      </c>
      <c r="J17" s="198" t="str">
        <f>D17</f>
        <v>Ogółem</v>
      </c>
      <c r="K17" s="198" t="str">
        <f>B17</f>
        <v>K</v>
      </c>
      <c r="L17" s="198" t="str">
        <f>C17</f>
        <v>M</v>
      </c>
      <c r="M17" s="207" t="s">
        <v>308</v>
      </c>
    </row>
    <row r="18" spans="1:13" ht="16.5" customHeight="1">
      <c r="A18" s="208">
        <v>1</v>
      </c>
      <c r="B18" s="209">
        <v>2</v>
      </c>
      <c r="C18" s="209">
        <v>3</v>
      </c>
      <c r="D18" s="209">
        <v>4</v>
      </c>
      <c r="E18" s="209">
        <v>5</v>
      </c>
      <c r="F18" s="209">
        <v>6</v>
      </c>
      <c r="G18" s="209">
        <v>7</v>
      </c>
      <c r="H18" s="209">
        <v>8</v>
      </c>
      <c r="I18" s="209">
        <v>9</v>
      </c>
      <c r="J18" s="209">
        <v>10</v>
      </c>
      <c r="K18" s="209">
        <v>11</v>
      </c>
      <c r="L18" s="209">
        <v>12</v>
      </c>
      <c r="M18" s="210">
        <v>13</v>
      </c>
    </row>
    <row r="19" spans="1:13" ht="16.5" customHeight="1">
      <c r="A19" s="391" t="s">
        <v>266</v>
      </c>
      <c r="B19" s="392"/>
      <c r="C19" s="392"/>
      <c r="D19" s="392"/>
      <c r="E19" s="392"/>
      <c r="F19" s="392"/>
      <c r="G19" s="392"/>
      <c r="H19" s="392"/>
      <c r="I19" s="392"/>
      <c r="J19" s="392"/>
      <c r="K19" s="392"/>
      <c r="L19" s="392"/>
      <c r="M19" s="393"/>
    </row>
    <row r="20" spans="1:13" ht="41.25" customHeight="1">
      <c r="A20" s="196" t="s">
        <v>319</v>
      </c>
      <c r="B20" s="275">
        <f>19308-17932</f>
        <v>1376</v>
      </c>
      <c r="C20" s="275">
        <f>13343-12439</f>
        <v>904</v>
      </c>
      <c r="D20" s="276">
        <f>B20+C20</f>
        <v>2280</v>
      </c>
      <c r="E20" s="275">
        <f>17138-15371</f>
        <v>1767</v>
      </c>
      <c r="F20" s="275">
        <f>11850-10654</f>
        <v>1196</v>
      </c>
      <c r="G20" s="276">
        <f>E20+F20</f>
        <v>2963</v>
      </c>
      <c r="H20" s="275">
        <f>1047-970</f>
        <v>77</v>
      </c>
      <c r="I20" s="275">
        <f>895-830</f>
        <v>65</v>
      </c>
      <c r="J20" s="276">
        <f>H20+I20</f>
        <v>142</v>
      </c>
      <c r="K20" s="385">
        <f>B21-E21-H21</f>
        <v>1123</v>
      </c>
      <c r="L20" s="385">
        <f>C21-F21-I21</f>
        <v>598</v>
      </c>
      <c r="M20" s="387">
        <f>D21-G21-J21</f>
        <v>1721</v>
      </c>
    </row>
    <row r="21" spans="1:13" ht="43.5" customHeight="1">
      <c r="A21" s="198" t="s">
        <v>320</v>
      </c>
      <c r="B21" s="212">
        <v>19308</v>
      </c>
      <c r="C21" s="212">
        <v>13343</v>
      </c>
      <c r="D21" s="276">
        <f>B21+C21</f>
        <v>32651</v>
      </c>
      <c r="E21" s="212">
        <v>17138</v>
      </c>
      <c r="F21" s="212">
        <v>11850</v>
      </c>
      <c r="G21" s="276">
        <f>E21+F21</f>
        <v>28988</v>
      </c>
      <c r="H21" s="212">
        <v>1047</v>
      </c>
      <c r="I21" s="212">
        <v>895</v>
      </c>
      <c r="J21" s="276">
        <f>H21+I21</f>
        <v>1942</v>
      </c>
      <c r="K21" s="386"/>
      <c r="L21" s="386"/>
      <c r="M21" s="388"/>
    </row>
    <row r="22" spans="1:13" ht="19.5" customHeight="1">
      <c r="A22" s="391" t="s">
        <v>276</v>
      </c>
      <c r="B22" s="392"/>
      <c r="C22" s="392"/>
      <c r="D22" s="392"/>
      <c r="E22" s="392"/>
      <c r="F22" s="392"/>
      <c r="G22" s="392"/>
      <c r="H22" s="392"/>
      <c r="I22" s="392"/>
      <c r="J22" s="392"/>
      <c r="K22" s="392"/>
      <c r="L22" s="392"/>
      <c r="M22" s="393"/>
    </row>
    <row r="23" spans="1:13" ht="41.25" customHeight="1">
      <c r="A23" s="196" t="s">
        <v>319</v>
      </c>
      <c r="B23" s="306">
        <f>577-530</f>
        <v>47</v>
      </c>
      <c r="C23" s="306">
        <f>517-480</f>
        <v>37</v>
      </c>
      <c r="D23" s="305">
        <f>B23+C23</f>
        <v>84</v>
      </c>
      <c r="E23" s="306">
        <f>438-404</f>
        <v>34</v>
      </c>
      <c r="F23" s="306">
        <f>429-411</f>
        <v>18</v>
      </c>
      <c r="G23" s="305">
        <f>E23+F23</f>
        <v>52</v>
      </c>
      <c r="H23" s="306">
        <f>75-67</f>
        <v>8</v>
      </c>
      <c r="I23" s="306">
        <f>46-41</f>
        <v>5</v>
      </c>
      <c r="J23" s="305">
        <f>H23+I23</f>
        <v>13</v>
      </c>
      <c r="K23" s="390">
        <f>B24-E24-H24</f>
        <v>64</v>
      </c>
      <c r="L23" s="390">
        <f>C24-F24-I24</f>
        <v>42</v>
      </c>
      <c r="M23" s="406">
        <f>D24-G24-J24</f>
        <v>106</v>
      </c>
    </row>
    <row r="24" spans="1:13" ht="43.5" customHeight="1">
      <c r="A24" s="304" t="s">
        <v>320</v>
      </c>
      <c r="B24" s="307">
        <v>577</v>
      </c>
      <c r="C24" s="307">
        <v>517</v>
      </c>
      <c r="D24" s="305">
        <f>B24+C24</f>
        <v>1094</v>
      </c>
      <c r="E24" s="307">
        <v>438</v>
      </c>
      <c r="F24" s="307">
        <v>429</v>
      </c>
      <c r="G24" s="305">
        <f>E24+F24</f>
        <v>867</v>
      </c>
      <c r="H24" s="307">
        <v>75</v>
      </c>
      <c r="I24" s="307">
        <v>46</v>
      </c>
      <c r="J24" s="305">
        <f>H24+I24</f>
        <v>121</v>
      </c>
      <c r="K24" s="385"/>
      <c r="L24" s="385"/>
      <c r="M24" s="387"/>
    </row>
    <row r="25" spans="1:13" ht="21" customHeight="1">
      <c r="A25" s="391" t="s">
        <v>278</v>
      </c>
      <c r="B25" s="392"/>
      <c r="C25" s="392"/>
      <c r="D25" s="392"/>
      <c r="E25" s="392"/>
      <c r="F25" s="392"/>
      <c r="G25" s="392"/>
      <c r="H25" s="392"/>
      <c r="I25" s="392"/>
      <c r="J25" s="392"/>
      <c r="K25" s="392"/>
      <c r="L25" s="392"/>
      <c r="M25" s="393"/>
    </row>
    <row r="26" spans="1:13" ht="41.25" customHeight="1">
      <c r="A26" s="196" t="s">
        <v>319</v>
      </c>
      <c r="B26" s="306">
        <v>0</v>
      </c>
      <c r="C26" s="306">
        <v>0</v>
      </c>
      <c r="D26" s="305">
        <f>B26+C26</f>
        <v>0</v>
      </c>
      <c r="E26" s="306">
        <v>0</v>
      </c>
      <c r="F26" s="306">
        <v>0</v>
      </c>
      <c r="G26" s="305">
        <f>E26+F26</f>
        <v>0</v>
      </c>
      <c r="H26" s="306">
        <v>0</v>
      </c>
      <c r="I26" s="306">
        <v>0</v>
      </c>
      <c r="J26" s="305">
        <f>H26+I26</f>
        <v>0</v>
      </c>
      <c r="K26" s="390">
        <f>B27-E27-H27</f>
        <v>0</v>
      </c>
      <c r="L26" s="390">
        <f>C27-F27-I27</f>
        <v>0</v>
      </c>
      <c r="M26" s="406">
        <f>D27-G27-J27</f>
        <v>0</v>
      </c>
    </row>
    <row r="27" spans="1:13" ht="43.5" customHeight="1">
      <c r="A27" s="304" t="s">
        <v>320</v>
      </c>
      <c r="B27" s="307">
        <v>585</v>
      </c>
      <c r="C27" s="307">
        <v>262</v>
      </c>
      <c r="D27" s="305">
        <f>B27+C27</f>
        <v>847</v>
      </c>
      <c r="E27" s="307">
        <v>575</v>
      </c>
      <c r="F27" s="307">
        <v>249</v>
      </c>
      <c r="G27" s="305">
        <f>E27+F27</f>
        <v>824</v>
      </c>
      <c r="H27" s="307">
        <v>10</v>
      </c>
      <c r="I27" s="307">
        <v>13</v>
      </c>
      <c r="J27" s="305">
        <f>H27+I27</f>
        <v>23</v>
      </c>
      <c r="K27" s="385"/>
      <c r="L27" s="385"/>
      <c r="M27" s="387"/>
    </row>
    <row r="28" spans="1:13" ht="20.25" customHeight="1">
      <c r="A28" s="391" t="s">
        <v>415</v>
      </c>
      <c r="B28" s="392"/>
      <c r="C28" s="392"/>
      <c r="D28" s="392"/>
      <c r="E28" s="392"/>
      <c r="F28" s="392"/>
      <c r="G28" s="392"/>
      <c r="H28" s="392"/>
      <c r="I28" s="392"/>
      <c r="J28" s="392"/>
      <c r="K28" s="392"/>
      <c r="L28" s="392"/>
      <c r="M28" s="393"/>
    </row>
    <row r="29" spans="1:13" ht="41.25" customHeight="1">
      <c r="A29" s="196" t="s">
        <v>319</v>
      </c>
      <c r="B29" s="249">
        <f>B20+B23+B26</f>
        <v>1423</v>
      </c>
      <c r="C29" s="249">
        <f aca="true" t="shared" si="0" ref="C29:J29">C20+C23+C26</f>
        <v>941</v>
      </c>
      <c r="D29" s="249">
        <f t="shared" si="0"/>
        <v>2364</v>
      </c>
      <c r="E29" s="249">
        <f t="shared" si="0"/>
        <v>1801</v>
      </c>
      <c r="F29" s="249">
        <f t="shared" si="0"/>
        <v>1214</v>
      </c>
      <c r="G29" s="249">
        <f t="shared" si="0"/>
        <v>3015</v>
      </c>
      <c r="H29" s="249">
        <f t="shared" si="0"/>
        <v>85</v>
      </c>
      <c r="I29" s="249">
        <f t="shared" si="0"/>
        <v>70</v>
      </c>
      <c r="J29" s="249">
        <f t="shared" si="0"/>
        <v>155</v>
      </c>
      <c r="K29" s="387">
        <f>B30-E30-H30</f>
        <v>1187</v>
      </c>
      <c r="L29" s="387">
        <f>C30-F30-I30</f>
        <v>640</v>
      </c>
      <c r="M29" s="387">
        <f>D30-G30-J30</f>
        <v>1827</v>
      </c>
    </row>
    <row r="30" spans="1:13" ht="43.5" customHeight="1">
      <c r="A30" s="198" t="s">
        <v>320</v>
      </c>
      <c r="B30" s="249">
        <f>B21+B24+B27</f>
        <v>20470</v>
      </c>
      <c r="C30" s="249">
        <f aca="true" t="shared" si="1" ref="C30:J30">C21+C24+C27</f>
        <v>14122</v>
      </c>
      <c r="D30" s="249">
        <f t="shared" si="1"/>
        <v>34592</v>
      </c>
      <c r="E30" s="249">
        <f t="shared" si="1"/>
        <v>18151</v>
      </c>
      <c r="F30" s="249">
        <f t="shared" si="1"/>
        <v>12528</v>
      </c>
      <c r="G30" s="249">
        <f t="shared" si="1"/>
        <v>30679</v>
      </c>
      <c r="H30" s="249">
        <f t="shared" si="1"/>
        <v>1132</v>
      </c>
      <c r="I30" s="249">
        <f t="shared" si="1"/>
        <v>954</v>
      </c>
      <c r="J30" s="249">
        <f t="shared" si="1"/>
        <v>2086</v>
      </c>
      <c r="K30" s="388"/>
      <c r="L30" s="388"/>
      <c r="M30" s="388"/>
    </row>
    <row r="31" spans="1:13" ht="20.25" customHeight="1">
      <c r="A31" s="206" t="s">
        <v>314</v>
      </c>
      <c r="B31" s="389"/>
      <c r="C31" s="389"/>
      <c r="D31" s="389"/>
      <c r="E31" s="389"/>
      <c r="F31" s="389"/>
      <c r="G31" s="389"/>
      <c r="H31" s="389"/>
      <c r="I31" s="389"/>
      <c r="J31" s="389"/>
      <c r="K31" s="389"/>
      <c r="L31" s="389"/>
      <c r="M31" s="389"/>
    </row>
    <row r="33" spans="1:2" ht="19.5" customHeight="1">
      <c r="A33" s="384" t="s">
        <v>309</v>
      </c>
      <c r="B33" s="384"/>
    </row>
    <row r="34" spans="1:7" ht="18.75" customHeight="1">
      <c r="A34" s="383" t="s">
        <v>310</v>
      </c>
      <c r="B34" s="383"/>
      <c r="C34" s="383"/>
      <c r="D34" s="383"/>
      <c r="E34" s="383"/>
      <c r="F34" s="383"/>
      <c r="G34" s="383"/>
    </row>
  </sheetData>
  <sheetProtection selectLockedCells="1" selectUnlockedCells="1"/>
  <mergeCells count="33">
    <mergeCell ref="L23:L24"/>
    <mergeCell ref="K26:K27"/>
    <mergeCell ref="L26:L27"/>
    <mergeCell ref="A22:M22"/>
    <mergeCell ref="M26:M27"/>
    <mergeCell ref="M23:M24"/>
    <mergeCell ref="A25:M25"/>
    <mergeCell ref="E16:G16"/>
    <mergeCell ref="B3:M3"/>
    <mergeCell ref="B5:M5"/>
    <mergeCell ref="B7:M7"/>
    <mergeCell ref="H16:J16"/>
    <mergeCell ref="K16:M16"/>
    <mergeCell ref="A28:M28"/>
    <mergeCell ref="A19:M19"/>
    <mergeCell ref="A1:M1"/>
    <mergeCell ref="A11:M11"/>
    <mergeCell ref="A15:A17"/>
    <mergeCell ref="B15:M15"/>
    <mergeCell ref="B16:D16"/>
    <mergeCell ref="A12:M12"/>
    <mergeCell ref="A13:M13"/>
    <mergeCell ref="A9:M9"/>
    <mergeCell ref="A34:G34"/>
    <mergeCell ref="A33:B33"/>
    <mergeCell ref="K20:K21"/>
    <mergeCell ref="L20:L21"/>
    <mergeCell ref="M20:M21"/>
    <mergeCell ref="B31:M31"/>
    <mergeCell ref="K23:K24"/>
    <mergeCell ref="K29:K30"/>
    <mergeCell ref="L29:L30"/>
    <mergeCell ref="M29:M30"/>
  </mergeCells>
  <printOptions/>
  <pageMargins left="0.5902777777777778" right="0.5902777777777778" top="0.984027777777778" bottom="0.9840277777777778" header="0.5118055555555556" footer="0.5118055555555556"/>
  <pageSetup horizontalDpi="300" verticalDpi="300" orientation="landscape" paperSize="9" scale="89" r:id="rId1"/>
</worksheet>
</file>

<file path=xl/worksheets/sheet3.xml><?xml version="1.0" encoding="utf-8"?>
<worksheet xmlns="http://schemas.openxmlformats.org/spreadsheetml/2006/main" xmlns:r="http://schemas.openxmlformats.org/officeDocument/2006/relationships">
  <dimension ref="A1:H100"/>
  <sheetViews>
    <sheetView zoomScalePageLayoutView="0" workbookViewId="0" topLeftCell="A16">
      <selection activeCell="A20" sqref="A20:H20"/>
    </sheetView>
  </sheetViews>
  <sheetFormatPr defaultColWidth="9.140625" defaultRowHeight="12.75"/>
  <cols>
    <col min="1" max="1" width="5.00390625" style="187" customWidth="1"/>
    <col min="2" max="2" width="37.8515625" style="187" customWidth="1"/>
    <col min="3" max="8" width="8.7109375" style="187" customWidth="1"/>
    <col min="9" max="16384" width="9.140625" style="187" customWidth="1"/>
  </cols>
  <sheetData>
    <row r="1" spans="1:8" ht="29.25" customHeight="1">
      <c r="A1" s="421" t="s">
        <v>54</v>
      </c>
      <c r="B1" s="421"/>
      <c r="C1" s="421"/>
      <c r="D1" s="421"/>
      <c r="E1" s="421"/>
      <c r="F1" s="421"/>
      <c r="G1" s="421"/>
      <c r="H1" s="421"/>
    </row>
    <row r="2" spans="3:8" ht="12" customHeight="1">
      <c r="C2" s="203"/>
      <c r="D2" s="203"/>
      <c r="E2" s="203"/>
      <c r="F2" s="203"/>
      <c r="G2" s="203"/>
      <c r="H2" s="233"/>
    </row>
    <row r="3" spans="1:8" ht="115.5" customHeight="1">
      <c r="A3" s="422" t="s">
        <v>290</v>
      </c>
      <c r="B3" s="422"/>
      <c r="C3" s="423" t="s">
        <v>407</v>
      </c>
      <c r="D3" s="424"/>
      <c r="E3" s="424"/>
      <c r="F3" s="424"/>
      <c r="G3" s="424"/>
      <c r="H3" s="425"/>
    </row>
    <row r="4" spans="1:8" ht="15" customHeight="1">
      <c r="A4" s="234"/>
      <c r="B4" s="235"/>
      <c r="C4" s="233"/>
      <c r="D4" s="233"/>
      <c r="E4" s="233"/>
      <c r="F4" s="233"/>
      <c r="G4" s="233"/>
      <c r="H4" s="233"/>
    </row>
    <row r="5" spans="1:8" ht="15.75" customHeight="1">
      <c r="A5" s="426" t="s">
        <v>306</v>
      </c>
      <c r="B5" s="426"/>
      <c r="C5" s="404" t="s">
        <v>408</v>
      </c>
      <c r="D5" s="404"/>
      <c r="E5" s="404"/>
      <c r="F5" s="404"/>
      <c r="G5" s="404"/>
      <c r="H5" s="404"/>
    </row>
    <row r="6" spans="1:2" ht="15" customHeight="1">
      <c r="A6" s="234"/>
      <c r="B6" s="234"/>
    </row>
    <row r="7" spans="1:8" ht="16.5" customHeight="1">
      <c r="A7" s="422" t="s">
        <v>307</v>
      </c>
      <c r="B7" s="422"/>
      <c r="C7" s="404" t="s">
        <v>427</v>
      </c>
      <c r="D7" s="404"/>
      <c r="E7" s="404"/>
      <c r="F7" s="404"/>
      <c r="G7" s="404"/>
      <c r="H7" s="404"/>
    </row>
    <row r="8" spans="1:8" ht="15.75">
      <c r="A8" s="233"/>
      <c r="B8" s="233"/>
      <c r="C8" s="203"/>
      <c r="D8" s="203"/>
      <c r="E8" s="203"/>
      <c r="F8" s="203"/>
      <c r="G8" s="203"/>
      <c r="H8" s="203"/>
    </row>
    <row r="9" spans="1:8" ht="87.75" customHeight="1">
      <c r="A9" s="418" t="s">
        <v>412</v>
      </c>
      <c r="B9" s="418"/>
      <c r="C9" s="418"/>
      <c r="D9" s="418"/>
      <c r="E9" s="418"/>
      <c r="F9" s="418"/>
      <c r="G9" s="418"/>
      <c r="H9" s="418"/>
    </row>
    <row r="10" spans="1:8" s="236" customFormat="1" ht="82.5" customHeight="1">
      <c r="A10" s="418" t="s">
        <v>413</v>
      </c>
      <c r="B10" s="419"/>
      <c r="C10" s="419"/>
      <c r="D10" s="419"/>
      <c r="E10" s="419"/>
      <c r="F10" s="419"/>
      <c r="G10" s="419"/>
      <c r="H10" s="419"/>
    </row>
    <row r="11" spans="1:8" s="236" customFormat="1" ht="207" customHeight="1">
      <c r="A11" s="418" t="s">
        <v>414</v>
      </c>
      <c r="B11" s="419"/>
      <c r="C11" s="419"/>
      <c r="D11" s="419"/>
      <c r="E11" s="419"/>
      <c r="F11" s="419"/>
      <c r="G11" s="419"/>
      <c r="H11" s="419"/>
    </row>
    <row r="12" spans="1:8" s="236" customFormat="1" ht="19.5" customHeight="1">
      <c r="A12" s="237"/>
      <c r="B12" s="274"/>
      <c r="C12" s="274"/>
      <c r="D12" s="274"/>
      <c r="E12" s="274"/>
      <c r="F12" s="274"/>
      <c r="G12" s="274"/>
      <c r="H12" s="274"/>
    </row>
    <row r="13" spans="1:8" ht="15" customHeight="1">
      <c r="A13" s="420" t="s">
        <v>315</v>
      </c>
      <c r="B13" s="420"/>
      <c r="C13" s="420"/>
      <c r="D13" s="420"/>
      <c r="E13" s="420"/>
      <c r="F13" s="238"/>
      <c r="G13" s="238"/>
      <c r="H13" s="238"/>
    </row>
    <row r="14" spans="1:8" ht="13.5" customHeight="1">
      <c r="A14" s="395" t="s">
        <v>316</v>
      </c>
      <c r="B14" s="395"/>
      <c r="C14" s="395"/>
      <c r="D14" s="395"/>
      <c r="E14" s="395"/>
      <c r="F14" s="395"/>
      <c r="G14" s="395"/>
      <c r="H14" s="395"/>
    </row>
    <row r="15" spans="1:8" ht="15" customHeight="1">
      <c r="A15" s="395" t="s">
        <v>317</v>
      </c>
      <c r="B15" s="395"/>
      <c r="C15" s="395"/>
      <c r="D15" s="395"/>
      <c r="E15" s="395"/>
      <c r="F15" s="395"/>
      <c r="G15" s="395"/>
      <c r="H15" s="395"/>
    </row>
    <row r="16" spans="1:5" ht="15" customHeight="1" thickBot="1">
      <c r="A16" s="239"/>
      <c r="B16" s="240"/>
      <c r="C16" s="240"/>
      <c r="D16" s="240"/>
      <c r="E16" s="240"/>
    </row>
    <row r="17" spans="1:8" ht="12.75" customHeight="1">
      <c r="A17" s="412" t="s">
        <v>321</v>
      </c>
      <c r="B17" s="414" t="s">
        <v>322</v>
      </c>
      <c r="C17" s="416" t="s">
        <v>319</v>
      </c>
      <c r="D17" s="416"/>
      <c r="E17" s="416"/>
      <c r="F17" s="416" t="s">
        <v>320</v>
      </c>
      <c r="G17" s="416"/>
      <c r="H17" s="417"/>
    </row>
    <row r="18" spans="1:8" ht="15.75">
      <c r="A18" s="413"/>
      <c r="B18" s="415"/>
      <c r="C18" s="273" t="s">
        <v>312</v>
      </c>
      <c r="D18" s="273" t="s">
        <v>313</v>
      </c>
      <c r="E18" s="273" t="s">
        <v>308</v>
      </c>
      <c r="F18" s="273" t="s">
        <v>312</v>
      </c>
      <c r="G18" s="273" t="s">
        <v>313</v>
      </c>
      <c r="H18" s="213" t="s">
        <v>308</v>
      </c>
    </row>
    <row r="19" spans="1:8" ht="16.5" thickBot="1">
      <c r="A19" s="214">
        <v>1</v>
      </c>
      <c r="B19" s="215">
        <v>2</v>
      </c>
      <c r="C19" s="215">
        <v>3</v>
      </c>
      <c r="D19" s="215">
        <v>4</v>
      </c>
      <c r="E19" s="215">
        <v>5</v>
      </c>
      <c r="F19" s="215">
        <v>6</v>
      </c>
      <c r="G19" s="215">
        <v>7</v>
      </c>
      <c r="H19" s="216">
        <v>8</v>
      </c>
    </row>
    <row r="20" spans="1:8" ht="15.75">
      <c r="A20" s="407" t="s">
        <v>266</v>
      </c>
      <c r="B20" s="408"/>
      <c r="C20" s="408"/>
      <c r="D20" s="408"/>
      <c r="E20" s="408"/>
      <c r="F20" s="408"/>
      <c r="G20" s="408"/>
      <c r="H20" s="408"/>
    </row>
    <row r="21" spans="1:8" ht="24.75" customHeight="1">
      <c r="A21" s="290">
        <v>1</v>
      </c>
      <c r="B21" s="297" t="s">
        <v>323</v>
      </c>
      <c r="C21" s="298">
        <f>17722-16378</f>
        <v>1344</v>
      </c>
      <c r="D21" s="298">
        <f>12660-11778</f>
        <v>882</v>
      </c>
      <c r="E21" s="298">
        <f>C21+D21</f>
        <v>2226</v>
      </c>
      <c r="F21" s="298">
        <v>17722</v>
      </c>
      <c r="G21" s="298">
        <v>12660</v>
      </c>
      <c r="H21" s="298">
        <f>F21+G21</f>
        <v>30382</v>
      </c>
    </row>
    <row r="22" spans="1:8" ht="24.75" customHeight="1">
      <c r="A22" s="291"/>
      <c r="B22" s="299" t="s">
        <v>324</v>
      </c>
      <c r="C22" s="300">
        <f>5802-5278</f>
        <v>524</v>
      </c>
      <c r="D22" s="300">
        <f>3401-3074</f>
        <v>327</v>
      </c>
      <c r="E22" s="298">
        <f aca="true" t="shared" si="0" ref="E22:E38">C22+D22</f>
        <v>851</v>
      </c>
      <c r="F22" s="300">
        <v>5802</v>
      </c>
      <c r="G22" s="300">
        <v>3401</v>
      </c>
      <c r="H22" s="298">
        <f aca="true" t="shared" si="1" ref="H22:H38">F22+G22</f>
        <v>9203</v>
      </c>
    </row>
    <row r="23" spans="1:8" ht="24.75" customHeight="1">
      <c r="A23" s="292">
        <v>2</v>
      </c>
      <c r="B23" s="301" t="s">
        <v>325</v>
      </c>
      <c r="C23" s="298">
        <f>1013-992</f>
        <v>21</v>
      </c>
      <c r="D23" s="298">
        <f>634-619</f>
        <v>15</v>
      </c>
      <c r="E23" s="298">
        <f t="shared" si="0"/>
        <v>36</v>
      </c>
      <c r="F23" s="298">
        <v>1013</v>
      </c>
      <c r="G23" s="298">
        <v>634</v>
      </c>
      <c r="H23" s="298">
        <f t="shared" si="1"/>
        <v>1647</v>
      </c>
    </row>
    <row r="24" spans="1:8" ht="24.75" customHeight="1">
      <c r="A24" s="293"/>
      <c r="B24" s="299" t="s">
        <v>326</v>
      </c>
      <c r="C24" s="300">
        <f>0</f>
        <v>0</v>
      </c>
      <c r="D24" s="300">
        <v>0</v>
      </c>
      <c r="E24" s="298">
        <f t="shared" si="0"/>
        <v>0</v>
      </c>
      <c r="F24" s="300">
        <v>82</v>
      </c>
      <c r="G24" s="300">
        <v>32</v>
      </c>
      <c r="H24" s="298">
        <f t="shared" si="1"/>
        <v>114</v>
      </c>
    </row>
    <row r="25" spans="1:8" ht="24.75" customHeight="1">
      <c r="A25" s="294">
        <v>3</v>
      </c>
      <c r="B25" s="297" t="s">
        <v>327</v>
      </c>
      <c r="C25" s="298">
        <f aca="true" t="shared" si="2" ref="C25:H25">SUM(C26:C33)</f>
        <v>11</v>
      </c>
      <c r="D25" s="298">
        <f t="shared" si="2"/>
        <v>7</v>
      </c>
      <c r="E25" s="298">
        <f t="shared" si="2"/>
        <v>18</v>
      </c>
      <c r="F25" s="298">
        <f t="shared" si="2"/>
        <v>573</v>
      </c>
      <c r="G25" s="298">
        <f t="shared" si="2"/>
        <v>49</v>
      </c>
      <c r="H25" s="298">
        <f t="shared" si="2"/>
        <v>622</v>
      </c>
    </row>
    <row r="26" spans="1:8" ht="30.75" customHeight="1">
      <c r="A26" s="295"/>
      <c r="B26" s="299" t="s">
        <v>375</v>
      </c>
      <c r="C26" s="300">
        <v>0</v>
      </c>
      <c r="D26" s="300">
        <v>0</v>
      </c>
      <c r="E26" s="298">
        <f t="shared" si="0"/>
        <v>0</v>
      </c>
      <c r="F26" s="300">
        <v>0</v>
      </c>
      <c r="G26" s="300">
        <v>0</v>
      </c>
      <c r="H26" s="298">
        <f t="shared" si="1"/>
        <v>0</v>
      </c>
    </row>
    <row r="27" spans="1:8" ht="30.75" customHeight="1">
      <c r="A27" s="295"/>
      <c r="B27" s="299" t="s">
        <v>328</v>
      </c>
      <c r="C27" s="300">
        <v>0</v>
      </c>
      <c r="D27" s="300">
        <v>0</v>
      </c>
      <c r="E27" s="298">
        <f t="shared" si="0"/>
        <v>0</v>
      </c>
      <c r="F27" s="300">
        <v>0</v>
      </c>
      <c r="G27" s="300">
        <v>0</v>
      </c>
      <c r="H27" s="298">
        <f t="shared" si="1"/>
        <v>0</v>
      </c>
    </row>
    <row r="28" spans="1:8" ht="31.5" customHeight="1">
      <c r="A28" s="295"/>
      <c r="B28" s="299" t="s">
        <v>329</v>
      </c>
      <c r="C28" s="300">
        <v>3</v>
      </c>
      <c r="D28" s="300">
        <v>4</v>
      </c>
      <c r="E28" s="298">
        <f t="shared" si="0"/>
        <v>7</v>
      </c>
      <c r="F28" s="300">
        <v>3</v>
      </c>
      <c r="G28" s="300">
        <v>4</v>
      </c>
      <c r="H28" s="298">
        <f t="shared" si="1"/>
        <v>7</v>
      </c>
    </row>
    <row r="29" spans="1:8" ht="30" customHeight="1">
      <c r="A29" s="295"/>
      <c r="B29" s="302" t="s">
        <v>225</v>
      </c>
      <c r="C29" s="300">
        <v>0</v>
      </c>
      <c r="D29" s="300">
        <v>0</v>
      </c>
      <c r="E29" s="298">
        <f t="shared" si="0"/>
        <v>0</v>
      </c>
      <c r="F29" s="300">
        <v>0</v>
      </c>
      <c r="G29" s="300">
        <v>0</v>
      </c>
      <c r="H29" s="298">
        <f t="shared" si="1"/>
        <v>0</v>
      </c>
    </row>
    <row r="30" spans="1:8" ht="30" customHeight="1">
      <c r="A30" s="295"/>
      <c r="B30" s="302" t="s">
        <v>226</v>
      </c>
      <c r="C30" s="300">
        <v>0</v>
      </c>
      <c r="D30" s="300">
        <v>0</v>
      </c>
      <c r="E30" s="298">
        <f t="shared" si="0"/>
        <v>0</v>
      </c>
      <c r="F30" s="300">
        <v>0</v>
      </c>
      <c r="G30" s="300">
        <v>0</v>
      </c>
      <c r="H30" s="298">
        <f t="shared" si="1"/>
        <v>0</v>
      </c>
    </row>
    <row r="31" spans="1:8" ht="30" customHeight="1">
      <c r="A31" s="295"/>
      <c r="B31" s="302" t="s">
        <v>330</v>
      </c>
      <c r="C31" s="300">
        <v>0</v>
      </c>
      <c r="D31" s="300">
        <v>0</v>
      </c>
      <c r="E31" s="298">
        <f t="shared" si="0"/>
        <v>0</v>
      </c>
      <c r="F31" s="300">
        <v>0</v>
      </c>
      <c r="G31" s="300">
        <v>0</v>
      </c>
      <c r="H31" s="298">
        <f t="shared" si="1"/>
        <v>0</v>
      </c>
    </row>
    <row r="32" spans="1:8" ht="30" customHeight="1">
      <c r="A32" s="295"/>
      <c r="B32" s="302" t="s">
        <v>210</v>
      </c>
      <c r="C32" s="300">
        <f>557-550</f>
        <v>7</v>
      </c>
      <c r="D32" s="300">
        <f>39-37</f>
        <v>2</v>
      </c>
      <c r="E32" s="298">
        <f t="shared" si="0"/>
        <v>9</v>
      </c>
      <c r="F32" s="300">
        <v>557</v>
      </c>
      <c r="G32" s="300">
        <v>39</v>
      </c>
      <c r="H32" s="298">
        <f t="shared" si="1"/>
        <v>596</v>
      </c>
    </row>
    <row r="33" spans="1:8" ht="25.5">
      <c r="A33" s="295"/>
      <c r="B33" s="302" t="s">
        <v>211</v>
      </c>
      <c r="C33" s="300">
        <v>1</v>
      </c>
      <c r="D33" s="300">
        <v>1</v>
      </c>
      <c r="E33" s="298">
        <f t="shared" si="0"/>
        <v>2</v>
      </c>
      <c r="F33" s="300">
        <v>13</v>
      </c>
      <c r="G33" s="300">
        <v>6</v>
      </c>
      <c r="H33" s="298">
        <f t="shared" si="1"/>
        <v>19</v>
      </c>
    </row>
    <row r="34" spans="1:8" s="241" customFormat="1" ht="24.75" customHeight="1">
      <c r="A34" s="294">
        <v>4</v>
      </c>
      <c r="B34" s="303" t="s">
        <v>308</v>
      </c>
      <c r="C34" s="298">
        <f aca="true" t="shared" si="3" ref="C34:H34">C25+C23+C21</f>
        <v>1376</v>
      </c>
      <c r="D34" s="298">
        <f t="shared" si="3"/>
        <v>904</v>
      </c>
      <c r="E34" s="298">
        <f t="shared" si="3"/>
        <v>2280</v>
      </c>
      <c r="F34" s="298">
        <f t="shared" si="3"/>
        <v>19308</v>
      </c>
      <c r="G34" s="298">
        <f t="shared" si="3"/>
        <v>13343</v>
      </c>
      <c r="H34" s="298">
        <f t="shared" si="3"/>
        <v>32651</v>
      </c>
    </row>
    <row r="35" spans="1:8" s="241" customFormat="1" ht="26.25" customHeight="1">
      <c r="A35" s="295"/>
      <c r="B35" s="302" t="s">
        <v>296</v>
      </c>
      <c r="C35" s="300">
        <v>0</v>
      </c>
      <c r="D35" s="300">
        <v>0</v>
      </c>
      <c r="E35" s="298">
        <f t="shared" si="0"/>
        <v>0</v>
      </c>
      <c r="F35" s="300">
        <v>0</v>
      </c>
      <c r="G35" s="300">
        <v>0</v>
      </c>
      <c r="H35" s="298">
        <f t="shared" si="1"/>
        <v>0</v>
      </c>
    </row>
    <row r="36" spans="1:8" s="241" customFormat="1" ht="24.75" customHeight="1">
      <c r="A36" s="295"/>
      <c r="B36" s="302" t="s">
        <v>333</v>
      </c>
      <c r="C36" s="300">
        <v>0</v>
      </c>
      <c r="D36" s="300">
        <v>0</v>
      </c>
      <c r="E36" s="298">
        <f t="shared" si="0"/>
        <v>0</v>
      </c>
      <c r="F36" s="300">
        <v>0</v>
      </c>
      <c r="G36" s="300">
        <v>0</v>
      </c>
      <c r="H36" s="298">
        <f t="shared" si="1"/>
        <v>0</v>
      </c>
    </row>
    <row r="37" spans="1:8" s="241" customFormat="1" ht="24.75" customHeight="1">
      <c r="A37" s="295"/>
      <c r="B37" s="302" t="s">
        <v>332</v>
      </c>
      <c r="C37" s="300">
        <f>1811-1635</f>
        <v>176</v>
      </c>
      <c r="D37" s="300">
        <f>1020-933</f>
        <v>87</v>
      </c>
      <c r="E37" s="298">
        <f t="shared" si="0"/>
        <v>263</v>
      </c>
      <c r="F37" s="300">
        <v>1811</v>
      </c>
      <c r="G37" s="300">
        <v>1020</v>
      </c>
      <c r="H37" s="298">
        <f t="shared" si="1"/>
        <v>2831</v>
      </c>
    </row>
    <row r="38" spans="1:8" s="241" customFormat="1" ht="24.75" customHeight="1">
      <c r="A38" s="296"/>
      <c r="B38" s="302" t="s">
        <v>221</v>
      </c>
      <c r="C38" s="300">
        <f>6795-6323</f>
        <v>472</v>
      </c>
      <c r="D38" s="300">
        <f>4897-4591</f>
        <v>306</v>
      </c>
      <c r="E38" s="298">
        <f t="shared" si="0"/>
        <v>778</v>
      </c>
      <c r="F38" s="300">
        <v>6795</v>
      </c>
      <c r="G38" s="300">
        <v>4897</v>
      </c>
      <c r="H38" s="298">
        <f t="shared" si="1"/>
        <v>11692</v>
      </c>
    </row>
    <row r="39" spans="1:8" ht="15.75">
      <c r="A39" s="407" t="s">
        <v>276</v>
      </c>
      <c r="B39" s="408"/>
      <c r="C39" s="408"/>
      <c r="D39" s="408"/>
      <c r="E39" s="408"/>
      <c r="F39" s="408"/>
      <c r="G39" s="408"/>
      <c r="H39" s="408"/>
    </row>
    <row r="40" spans="1:8" ht="24.75" customHeight="1">
      <c r="A40" s="217">
        <v>1</v>
      </c>
      <c r="B40" s="218" t="s">
        <v>323</v>
      </c>
      <c r="C40" s="219">
        <f>258-244</f>
        <v>14</v>
      </c>
      <c r="D40" s="219">
        <f>263-252</f>
        <v>11</v>
      </c>
      <c r="E40" s="219">
        <f>C40+D40</f>
        <v>25</v>
      </c>
      <c r="F40" s="219">
        <v>258</v>
      </c>
      <c r="G40" s="219">
        <v>263</v>
      </c>
      <c r="H40" s="219">
        <f>F40+G40</f>
        <v>521</v>
      </c>
    </row>
    <row r="41" spans="1:8" ht="24.75" customHeight="1">
      <c r="A41" s="220"/>
      <c r="B41" s="221" t="s">
        <v>324</v>
      </c>
      <c r="C41" s="222">
        <f>103-99</f>
        <v>4</v>
      </c>
      <c r="D41" s="222">
        <f>95-94</f>
        <v>1</v>
      </c>
      <c r="E41" s="219">
        <f>C41+D41</f>
        <v>5</v>
      </c>
      <c r="F41" s="222">
        <v>103</v>
      </c>
      <c r="G41" s="222">
        <v>95</v>
      </c>
      <c r="H41" s="219">
        <f>F41+G41</f>
        <v>198</v>
      </c>
    </row>
    <row r="42" spans="1:8" ht="24.75" customHeight="1">
      <c r="A42" s="223">
        <v>2</v>
      </c>
      <c r="B42" s="224" t="s">
        <v>325</v>
      </c>
      <c r="C42" s="225">
        <f>120-109</f>
        <v>11</v>
      </c>
      <c r="D42" s="225">
        <f>119-113</f>
        <v>6</v>
      </c>
      <c r="E42" s="219">
        <f>C42+D42</f>
        <v>17</v>
      </c>
      <c r="F42" s="225">
        <v>120</v>
      </c>
      <c r="G42" s="225">
        <v>119</v>
      </c>
      <c r="H42" s="219">
        <f>F42+G42</f>
        <v>239</v>
      </c>
    </row>
    <row r="43" spans="1:8" ht="24.75" customHeight="1">
      <c r="A43" s="226"/>
      <c r="B43" s="221" t="s">
        <v>326</v>
      </c>
      <c r="C43" s="222">
        <f>42-40</f>
        <v>2</v>
      </c>
      <c r="D43" s="222">
        <f>53-52</f>
        <v>1</v>
      </c>
      <c r="E43" s="219">
        <f>C43+D43</f>
        <v>3</v>
      </c>
      <c r="F43" s="222">
        <v>42</v>
      </c>
      <c r="G43" s="222">
        <v>53</v>
      </c>
      <c r="H43" s="219">
        <f>F43+G43</f>
        <v>95</v>
      </c>
    </row>
    <row r="44" spans="1:8" ht="24.75" customHeight="1">
      <c r="A44" s="227">
        <v>3</v>
      </c>
      <c r="B44" s="228" t="s">
        <v>327</v>
      </c>
      <c r="C44" s="225">
        <f aca="true" t="shared" si="4" ref="C44:H44">SUM(C45:C52)</f>
        <v>22</v>
      </c>
      <c r="D44" s="225">
        <f t="shared" si="4"/>
        <v>20</v>
      </c>
      <c r="E44" s="225">
        <f t="shared" si="4"/>
        <v>42</v>
      </c>
      <c r="F44" s="225">
        <f t="shared" si="4"/>
        <v>199</v>
      </c>
      <c r="G44" s="225">
        <f t="shared" si="4"/>
        <v>135</v>
      </c>
      <c r="H44" s="225">
        <f t="shared" si="4"/>
        <v>334</v>
      </c>
    </row>
    <row r="45" spans="1:8" ht="30.75" customHeight="1">
      <c r="A45" s="229"/>
      <c r="B45" s="230" t="s">
        <v>375</v>
      </c>
      <c r="C45" s="222">
        <v>0</v>
      </c>
      <c r="D45" s="222">
        <v>0</v>
      </c>
      <c r="E45" s="219">
        <f aca="true" t="shared" si="5" ref="E45:E52">C45+D45</f>
        <v>0</v>
      </c>
      <c r="F45" s="222">
        <v>1</v>
      </c>
      <c r="G45" s="222">
        <v>6</v>
      </c>
      <c r="H45" s="219">
        <f aca="true" t="shared" si="6" ref="H45:H52">F45+G45</f>
        <v>7</v>
      </c>
    </row>
    <row r="46" spans="1:8" ht="30.75" customHeight="1">
      <c r="A46" s="229"/>
      <c r="B46" s="230" t="s">
        <v>328</v>
      </c>
      <c r="C46" s="222">
        <v>0</v>
      </c>
      <c r="D46" s="222">
        <v>0</v>
      </c>
      <c r="E46" s="219">
        <f t="shared" si="5"/>
        <v>0</v>
      </c>
      <c r="F46" s="222">
        <v>0</v>
      </c>
      <c r="G46" s="222">
        <v>0</v>
      </c>
      <c r="H46" s="219">
        <f t="shared" si="6"/>
        <v>0</v>
      </c>
    </row>
    <row r="47" spans="1:8" ht="31.5" customHeight="1">
      <c r="A47" s="229"/>
      <c r="B47" s="230" t="s">
        <v>329</v>
      </c>
      <c r="C47" s="222">
        <f>49-46</f>
        <v>3</v>
      </c>
      <c r="D47" s="222">
        <f>32-26</f>
        <v>6</v>
      </c>
      <c r="E47" s="219">
        <f t="shared" si="5"/>
        <v>9</v>
      </c>
      <c r="F47" s="222">
        <v>49</v>
      </c>
      <c r="G47" s="222">
        <v>32</v>
      </c>
      <c r="H47" s="219">
        <f t="shared" si="6"/>
        <v>81</v>
      </c>
    </row>
    <row r="48" spans="1:8" ht="30" customHeight="1">
      <c r="A48" s="229"/>
      <c r="B48" s="231" t="s">
        <v>225</v>
      </c>
      <c r="C48" s="222">
        <f>29-22</f>
        <v>7</v>
      </c>
      <c r="D48" s="222">
        <f>31-26</f>
        <v>5</v>
      </c>
      <c r="E48" s="219">
        <f t="shared" si="5"/>
        <v>12</v>
      </c>
      <c r="F48" s="222">
        <v>29</v>
      </c>
      <c r="G48" s="222">
        <v>31</v>
      </c>
      <c r="H48" s="219">
        <f t="shared" si="6"/>
        <v>60</v>
      </c>
    </row>
    <row r="49" spans="1:8" ht="30" customHeight="1">
      <c r="A49" s="229"/>
      <c r="B49" s="231" t="s">
        <v>226</v>
      </c>
      <c r="C49" s="222">
        <f>28-25</f>
        <v>3</v>
      </c>
      <c r="D49" s="222">
        <f>16-14</f>
        <v>2</v>
      </c>
      <c r="E49" s="219">
        <f t="shared" si="5"/>
        <v>5</v>
      </c>
      <c r="F49" s="222">
        <v>28</v>
      </c>
      <c r="G49" s="222">
        <v>16</v>
      </c>
      <c r="H49" s="219">
        <f t="shared" si="6"/>
        <v>44</v>
      </c>
    </row>
    <row r="50" spans="1:8" ht="30" customHeight="1">
      <c r="A50" s="229"/>
      <c r="B50" s="231" t="s">
        <v>330</v>
      </c>
      <c r="C50" s="222">
        <f>35-31</f>
        <v>4</v>
      </c>
      <c r="D50" s="222">
        <f>26-20</f>
        <v>6</v>
      </c>
      <c r="E50" s="219">
        <f t="shared" si="5"/>
        <v>10</v>
      </c>
      <c r="F50" s="222">
        <v>35</v>
      </c>
      <c r="G50" s="222">
        <v>26</v>
      </c>
      <c r="H50" s="219">
        <f t="shared" si="6"/>
        <v>61</v>
      </c>
    </row>
    <row r="51" spans="1:8" ht="30" customHeight="1">
      <c r="A51" s="229"/>
      <c r="B51" s="231" t="s">
        <v>210</v>
      </c>
      <c r="C51" s="222">
        <f>55-52</f>
        <v>3</v>
      </c>
      <c r="D51" s="222">
        <f>23-22</f>
        <v>1</v>
      </c>
      <c r="E51" s="219">
        <f t="shared" si="5"/>
        <v>4</v>
      </c>
      <c r="F51" s="222">
        <v>55</v>
      </c>
      <c r="G51" s="222">
        <v>23</v>
      </c>
      <c r="H51" s="219">
        <f t="shared" si="6"/>
        <v>78</v>
      </c>
    </row>
    <row r="52" spans="1:8" ht="25.5">
      <c r="A52" s="229"/>
      <c r="B52" s="231" t="s">
        <v>211</v>
      </c>
      <c r="C52" s="222">
        <f>2</f>
        <v>2</v>
      </c>
      <c r="D52" s="222">
        <v>0</v>
      </c>
      <c r="E52" s="219">
        <f t="shared" si="5"/>
        <v>2</v>
      </c>
      <c r="F52" s="222">
        <v>2</v>
      </c>
      <c r="G52" s="222">
        <v>1</v>
      </c>
      <c r="H52" s="219">
        <f t="shared" si="6"/>
        <v>3</v>
      </c>
    </row>
    <row r="53" spans="1:8" s="241" customFormat="1" ht="24.75" customHeight="1">
      <c r="A53" s="227">
        <v>4</v>
      </c>
      <c r="B53" s="232" t="s">
        <v>308</v>
      </c>
      <c r="C53" s="225">
        <f aca="true" t="shared" si="7" ref="C53:H53">C44+C42+C40</f>
        <v>47</v>
      </c>
      <c r="D53" s="225">
        <f t="shared" si="7"/>
        <v>37</v>
      </c>
      <c r="E53" s="225">
        <f t="shared" si="7"/>
        <v>84</v>
      </c>
      <c r="F53" s="225">
        <f t="shared" si="7"/>
        <v>577</v>
      </c>
      <c r="G53" s="225">
        <f t="shared" si="7"/>
        <v>517</v>
      </c>
      <c r="H53" s="225">
        <f t="shared" si="7"/>
        <v>1094</v>
      </c>
    </row>
    <row r="54" spans="1:8" s="241" customFormat="1" ht="26.25" customHeight="1">
      <c r="A54" s="229"/>
      <c r="B54" s="231" t="s">
        <v>296</v>
      </c>
      <c r="C54" s="222">
        <v>0</v>
      </c>
      <c r="D54" s="222">
        <v>0</v>
      </c>
      <c r="E54" s="219">
        <f>C54+D54</f>
        <v>0</v>
      </c>
      <c r="F54" s="222">
        <v>0</v>
      </c>
      <c r="G54" s="222">
        <v>0</v>
      </c>
      <c r="H54" s="219">
        <f>F54+G54</f>
        <v>0</v>
      </c>
    </row>
    <row r="55" spans="1:8" s="241" customFormat="1" ht="24.75" customHeight="1">
      <c r="A55" s="229"/>
      <c r="B55" s="231" t="s">
        <v>333</v>
      </c>
      <c r="C55" s="222">
        <v>0</v>
      </c>
      <c r="D55" s="222">
        <v>0</v>
      </c>
      <c r="E55" s="219">
        <f>C55+D55</f>
        <v>0</v>
      </c>
      <c r="F55" s="222">
        <v>0</v>
      </c>
      <c r="G55" s="222">
        <v>0</v>
      </c>
      <c r="H55" s="219">
        <f>F55+G55</f>
        <v>0</v>
      </c>
    </row>
    <row r="56" spans="1:8" s="241" customFormat="1" ht="24.75" customHeight="1">
      <c r="A56" s="229"/>
      <c r="B56" s="231" t="s">
        <v>332</v>
      </c>
      <c r="C56" s="222">
        <f>65-61</f>
        <v>4</v>
      </c>
      <c r="D56" s="222">
        <f>52-51</f>
        <v>1</v>
      </c>
      <c r="E56" s="219">
        <f>C56+D56</f>
        <v>5</v>
      </c>
      <c r="F56" s="222">
        <v>65</v>
      </c>
      <c r="G56" s="222">
        <v>52</v>
      </c>
      <c r="H56" s="219">
        <f>F56+G56</f>
        <v>117</v>
      </c>
    </row>
    <row r="57" spans="1:8" s="241" customFormat="1" ht="24.75" customHeight="1">
      <c r="A57" s="197"/>
      <c r="B57" s="231" t="s">
        <v>221</v>
      </c>
      <c r="C57" s="222">
        <f>254-243</f>
        <v>11</v>
      </c>
      <c r="D57" s="222">
        <f>211-203</f>
        <v>8</v>
      </c>
      <c r="E57" s="219">
        <f>C57+D57</f>
        <v>19</v>
      </c>
      <c r="F57" s="222">
        <v>254</v>
      </c>
      <c r="G57" s="222">
        <v>211</v>
      </c>
      <c r="H57" s="219">
        <f>F57+G57</f>
        <v>465</v>
      </c>
    </row>
    <row r="58" spans="1:8" ht="15.75">
      <c r="A58" s="407" t="s">
        <v>278</v>
      </c>
      <c r="B58" s="408"/>
      <c r="C58" s="408"/>
      <c r="D58" s="408"/>
      <c r="E58" s="408"/>
      <c r="F58" s="408"/>
      <c r="G58" s="408"/>
      <c r="H58" s="408"/>
    </row>
    <row r="59" spans="1:8" ht="24.75" customHeight="1">
      <c r="A59" s="217">
        <v>1</v>
      </c>
      <c r="B59" s="218" t="s">
        <v>323</v>
      </c>
      <c r="C59" s="219">
        <v>0</v>
      </c>
      <c r="D59" s="219">
        <v>0</v>
      </c>
      <c r="E59" s="219">
        <f>C59+D59</f>
        <v>0</v>
      </c>
      <c r="F59" s="219">
        <v>341</v>
      </c>
      <c r="G59" s="219">
        <v>149</v>
      </c>
      <c r="H59" s="219">
        <f>F59+G59</f>
        <v>490</v>
      </c>
    </row>
    <row r="60" spans="1:8" ht="24.75" customHeight="1">
      <c r="A60" s="220"/>
      <c r="B60" s="221" t="s">
        <v>324</v>
      </c>
      <c r="C60" s="222">
        <v>0</v>
      </c>
      <c r="D60" s="222">
        <v>0</v>
      </c>
      <c r="E60" s="219">
        <f>C60+D60</f>
        <v>0</v>
      </c>
      <c r="F60" s="222">
        <v>151</v>
      </c>
      <c r="G60" s="222">
        <v>32</v>
      </c>
      <c r="H60" s="219">
        <f>F60+G60</f>
        <v>183</v>
      </c>
    </row>
    <row r="61" spans="1:8" ht="24.75" customHeight="1">
      <c r="A61" s="223">
        <v>2</v>
      </c>
      <c r="B61" s="224" t="s">
        <v>325</v>
      </c>
      <c r="C61" s="225">
        <v>0</v>
      </c>
      <c r="D61" s="225">
        <v>0</v>
      </c>
      <c r="E61" s="219">
        <f>C61+D61</f>
        <v>0</v>
      </c>
      <c r="F61" s="225">
        <v>166</v>
      </c>
      <c r="G61" s="225">
        <v>58</v>
      </c>
      <c r="H61" s="219">
        <f>F61+G61</f>
        <v>224</v>
      </c>
    </row>
    <row r="62" spans="1:8" ht="24.75" customHeight="1">
      <c r="A62" s="226"/>
      <c r="B62" s="221" t="s">
        <v>326</v>
      </c>
      <c r="C62" s="222">
        <v>0</v>
      </c>
      <c r="D62" s="222">
        <f>19-19</f>
        <v>0</v>
      </c>
      <c r="E62" s="219">
        <f>C62+D62</f>
        <v>0</v>
      </c>
      <c r="F62" s="222">
        <v>34</v>
      </c>
      <c r="G62" s="222">
        <v>19</v>
      </c>
      <c r="H62" s="219">
        <f>F62+G62</f>
        <v>53</v>
      </c>
    </row>
    <row r="63" spans="1:8" ht="24.75" customHeight="1">
      <c r="A63" s="227">
        <v>3</v>
      </c>
      <c r="B63" s="228" t="s">
        <v>327</v>
      </c>
      <c r="C63" s="225">
        <f aca="true" t="shared" si="8" ref="C63:H63">SUM(C64:C71)</f>
        <v>0</v>
      </c>
      <c r="D63" s="225">
        <f t="shared" si="8"/>
        <v>0</v>
      </c>
      <c r="E63" s="225">
        <f t="shared" si="8"/>
        <v>0</v>
      </c>
      <c r="F63" s="225">
        <f t="shared" si="8"/>
        <v>78</v>
      </c>
      <c r="G63" s="225">
        <f t="shared" si="8"/>
        <v>55</v>
      </c>
      <c r="H63" s="225">
        <f t="shared" si="8"/>
        <v>133</v>
      </c>
    </row>
    <row r="64" spans="1:8" ht="30.75" customHeight="1">
      <c r="A64" s="229"/>
      <c r="B64" s="230" t="s">
        <v>375</v>
      </c>
      <c r="C64" s="222">
        <v>0</v>
      </c>
      <c r="D64" s="222">
        <v>0</v>
      </c>
      <c r="E64" s="219">
        <f aca="true" t="shared" si="9" ref="E64:E71">C64+D64</f>
        <v>0</v>
      </c>
      <c r="F64" s="222">
        <v>36</v>
      </c>
      <c r="G64" s="222">
        <v>16</v>
      </c>
      <c r="H64" s="219">
        <f aca="true" t="shared" si="10" ref="H64:H71">F64+G64</f>
        <v>52</v>
      </c>
    </row>
    <row r="65" spans="1:8" ht="30.75" customHeight="1">
      <c r="A65" s="229"/>
      <c r="B65" s="230" t="s">
        <v>328</v>
      </c>
      <c r="C65" s="222">
        <v>0</v>
      </c>
      <c r="D65" s="222">
        <v>0</v>
      </c>
      <c r="E65" s="219">
        <f t="shared" si="9"/>
        <v>0</v>
      </c>
      <c r="F65" s="222">
        <v>3</v>
      </c>
      <c r="G65" s="222">
        <v>5</v>
      </c>
      <c r="H65" s="219">
        <f t="shared" si="10"/>
        <v>8</v>
      </c>
    </row>
    <row r="66" spans="1:8" ht="31.5" customHeight="1">
      <c r="A66" s="229"/>
      <c r="B66" s="230" t="s">
        <v>329</v>
      </c>
      <c r="C66" s="222">
        <v>0</v>
      </c>
      <c r="D66" s="222">
        <v>0</v>
      </c>
      <c r="E66" s="219">
        <f t="shared" si="9"/>
        <v>0</v>
      </c>
      <c r="F66" s="222">
        <v>3</v>
      </c>
      <c r="G66" s="222">
        <v>8</v>
      </c>
      <c r="H66" s="219">
        <f t="shared" si="10"/>
        <v>11</v>
      </c>
    </row>
    <row r="67" spans="1:8" ht="30" customHeight="1">
      <c r="A67" s="229"/>
      <c r="B67" s="231" t="s">
        <v>225</v>
      </c>
      <c r="C67" s="222">
        <v>0</v>
      </c>
      <c r="D67" s="222">
        <v>0</v>
      </c>
      <c r="E67" s="219">
        <f t="shared" si="9"/>
        <v>0</v>
      </c>
      <c r="F67" s="222">
        <v>6</v>
      </c>
      <c r="G67" s="222">
        <v>8</v>
      </c>
      <c r="H67" s="219">
        <f t="shared" si="10"/>
        <v>14</v>
      </c>
    </row>
    <row r="68" spans="1:8" ht="30" customHeight="1">
      <c r="A68" s="229"/>
      <c r="B68" s="231" t="s">
        <v>226</v>
      </c>
      <c r="C68" s="222">
        <v>0</v>
      </c>
      <c r="D68" s="222">
        <v>0</v>
      </c>
      <c r="E68" s="219">
        <f t="shared" si="9"/>
        <v>0</v>
      </c>
      <c r="F68" s="222">
        <v>8</v>
      </c>
      <c r="G68" s="222">
        <v>3</v>
      </c>
      <c r="H68" s="219">
        <f t="shared" si="10"/>
        <v>11</v>
      </c>
    </row>
    <row r="69" spans="1:8" ht="30" customHeight="1">
      <c r="A69" s="229"/>
      <c r="B69" s="231" t="s">
        <v>330</v>
      </c>
      <c r="C69" s="222">
        <v>0</v>
      </c>
      <c r="D69" s="222">
        <v>0</v>
      </c>
      <c r="E69" s="219">
        <f t="shared" si="9"/>
        <v>0</v>
      </c>
      <c r="F69" s="222">
        <v>6</v>
      </c>
      <c r="G69" s="222">
        <v>8</v>
      </c>
      <c r="H69" s="219">
        <f t="shared" si="10"/>
        <v>14</v>
      </c>
    </row>
    <row r="70" spans="1:8" ht="30" customHeight="1">
      <c r="A70" s="229"/>
      <c r="B70" s="231" t="s">
        <v>210</v>
      </c>
      <c r="C70" s="222">
        <v>0</v>
      </c>
      <c r="D70" s="222">
        <v>0</v>
      </c>
      <c r="E70" s="219">
        <f t="shared" si="9"/>
        <v>0</v>
      </c>
      <c r="F70" s="222">
        <v>15</v>
      </c>
      <c r="G70" s="222">
        <v>7</v>
      </c>
      <c r="H70" s="219">
        <f t="shared" si="10"/>
        <v>22</v>
      </c>
    </row>
    <row r="71" spans="1:8" ht="25.5">
      <c r="A71" s="229"/>
      <c r="B71" s="231" t="s">
        <v>211</v>
      </c>
      <c r="C71" s="222">
        <v>0</v>
      </c>
      <c r="D71" s="222">
        <v>0</v>
      </c>
      <c r="E71" s="219">
        <f t="shared" si="9"/>
        <v>0</v>
      </c>
      <c r="F71" s="222">
        <v>1</v>
      </c>
      <c r="G71" s="222">
        <v>0</v>
      </c>
      <c r="H71" s="219">
        <f t="shared" si="10"/>
        <v>1</v>
      </c>
    </row>
    <row r="72" spans="1:8" s="241" customFormat="1" ht="24.75" customHeight="1">
      <c r="A72" s="227">
        <v>4</v>
      </c>
      <c r="B72" s="232" t="s">
        <v>308</v>
      </c>
      <c r="C72" s="225">
        <f aca="true" t="shared" si="11" ref="C72:H72">C63+C61+C59</f>
        <v>0</v>
      </c>
      <c r="D72" s="225">
        <f t="shared" si="11"/>
        <v>0</v>
      </c>
      <c r="E72" s="225">
        <f t="shared" si="11"/>
        <v>0</v>
      </c>
      <c r="F72" s="225">
        <f t="shared" si="11"/>
        <v>585</v>
      </c>
      <c r="G72" s="225">
        <f t="shared" si="11"/>
        <v>262</v>
      </c>
      <c r="H72" s="225">
        <f t="shared" si="11"/>
        <v>847</v>
      </c>
    </row>
    <row r="73" spans="1:8" s="241" customFormat="1" ht="26.25" customHeight="1">
      <c r="A73" s="229"/>
      <c r="B73" s="231" t="s">
        <v>296</v>
      </c>
      <c r="C73" s="222">
        <v>0</v>
      </c>
      <c r="D73" s="222">
        <v>0</v>
      </c>
      <c r="E73" s="219">
        <f>C73+D73</f>
        <v>0</v>
      </c>
      <c r="F73" s="222">
        <v>0</v>
      </c>
      <c r="G73" s="222">
        <v>0</v>
      </c>
      <c r="H73" s="219">
        <f>F73+G73</f>
        <v>0</v>
      </c>
    </row>
    <row r="74" spans="1:8" s="241" customFormat="1" ht="24.75" customHeight="1">
      <c r="A74" s="229"/>
      <c r="B74" s="231" t="s">
        <v>333</v>
      </c>
      <c r="C74" s="222">
        <v>0</v>
      </c>
      <c r="D74" s="222">
        <v>0</v>
      </c>
      <c r="E74" s="219">
        <f>C74+D74</f>
        <v>0</v>
      </c>
      <c r="F74" s="222">
        <v>0</v>
      </c>
      <c r="G74" s="222">
        <v>0</v>
      </c>
      <c r="H74" s="219">
        <f>F74+G74</f>
        <v>0</v>
      </c>
    </row>
    <row r="75" spans="1:8" s="241" customFormat="1" ht="24.75" customHeight="1">
      <c r="A75" s="229"/>
      <c r="B75" s="231" t="s">
        <v>332</v>
      </c>
      <c r="C75" s="222">
        <v>0</v>
      </c>
      <c r="D75" s="222">
        <v>0</v>
      </c>
      <c r="E75" s="219">
        <f>C75+D75</f>
        <v>0</v>
      </c>
      <c r="F75" s="222">
        <v>29</v>
      </c>
      <c r="G75" s="222">
        <v>10</v>
      </c>
      <c r="H75" s="219">
        <f>F75+G75</f>
        <v>39</v>
      </c>
    </row>
    <row r="76" spans="1:8" s="241" customFormat="1" ht="24.75" customHeight="1">
      <c r="A76" s="197"/>
      <c r="B76" s="231" t="s">
        <v>221</v>
      </c>
      <c r="C76" s="222">
        <v>0</v>
      </c>
      <c r="D76" s="222">
        <v>0</v>
      </c>
      <c r="E76" s="219">
        <f>C76+D76</f>
        <v>0</v>
      </c>
      <c r="F76" s="222">
        <v>514</v>
      </c>
      <c r="G76" s="222">
        <v>201</v>
      </c>
      <c r="H76" s="219">
        <f>F76+G76</f>
        <v>715</v>
      </c>
    </row>
    <row r="77" spans="1:8" ht="15.75">
      <c r="A77" s="407" t="s">
        <v>415</v>
      </c>
      <c r="B77" s="408"/>
      <c r="C77" s="408"/>
      <c r="D77" s="408"/>
      <c r="E77" s="408"/>
      <c r="F77" s="408"/>
      <c r="G77" s="408"/>
      <c r="H77" s="408"/>
    </row>
    <row r="78" spans="1:8" ht="24.75" customHeight="1">
      <c r="A78" s="217">
        <v>1</v>
      </c>
      <c r="B78" s="218" t="s">
        <v>323</v>
      </c>
      <c r="C78" s="219">
        <f aca="true" t="shared" si="12" ref="C78:H93">C21+C40+C59</f>
        <v>1358</v>
      </c>
      <c r="D78" s="219">
        <f t="shared" si="12"/>
        <v>893</v>
      </c>
      <c r="E78" s="219">
        <f t="shared" si="12"/>
        <v>2251</v>
      </c>
      <c r="F78" s="219">
        <f t="shared" si="12"/>
        <v>18321</v>
      </c>
      <c r="G78" s="219">
        <f t="shared" si="12"/>
        <v>13072</v>
      </c>
      <c r="H78" s="219">
        <f t="shared" si="12"/>
        <v>31393</v>
      </c>
    </row>
    <row r="79" spans="1:8" ht="24.75" customHeight="1">
      <c r="A79" s="220"/>
      <c r="B79" s="221" t="s">
        <v>324</v>
      </c>
      <c r="C79" s="219">
        <f t="shared" si="12"/>
        <v>528</v>
      </c>
      <c r="D79" s="219">
        <f t="shared" si="12"/>
        <v>328</v>
      </c>
      <c r="E79" s="219">
        <f>C79+D79</f>
        <v>856</v>
      </c>
      <c r="F79" s="219">
        <f t="shared" si="12"/>
        <v>6056</v>
      </c>
      <c r="G79" s="219">
        <f t="shared" si="12"/>
        <v>3528</v>
      </c>
      <c r="H79" s="219">
        <f>F79+G79</f>
        <v>9584</v>
      </c>
    </row>
    <row r="80" spans="1:8" ht="24.75" customHeight="1">
      <c r="A80" s="223">
        <v>2</v>
      </c>
      <c r="B80" s="224" t="s">
        <v>325</v>
      </c>
      <c r="C80" s="219">
        <f t="shared" si="12"/>
        <v>32</v>
      </c>
      <c r="D80" s="219">
        <f t="shared" si="12"/>
        <v>21</v>
      </c>
      <c r="E80" s="219">
        <f>C80+D80</f>
        <v>53</v>
      </c>
      <c r="F80" s="219">
        <f t="shared" si="12"/>
        <v>1299</v>
      </c>
      <c r="G80" s="219">
        <f t="shared" si="12"/>
        <v>811</v>
      </c>
      <c r="H80" s="219">
        <f>F80+G80</f>
        <v>2110</v>
      </c>
    </row>
    <row r="81" spans="1:8" ht="24.75" customHeight="1">
      <c r="A81" s="226"/>
      <c r="B81" s="221" t="s">
        <v>326</v>
      </c>
      <c r="C81" s="219">
        <f t="shared" si="12"/>
        <v>2</v>
      </c>
      <c r="D81" s="219">
        <f t="shared" si="12"/>
        <v>1</v>
      </c>
      <c r="E81" s="219">
        <f>C81+D81</f>
        <v>3</v>
      </c>
      <c r="F81" s="219">
        <f t="shared" si="12"/>
        <v>158</v>
      </c>
      <c r="G81" s="219">
        <f t="shared" si="12"/>
        <v>104</v>
      </c>
      <c r="H81" s="219">
        <f>F81+G81</f>
        <v>262</v>
      </c>
    </row>
    <row r="82" spans="1:8" ht="24.75" customHeight="1">
      <c r="A82" s="227">
        <v>3</v>
      </c>
      <c r="B82" s="228" t="s">
        <v>327</v>
      </c>
      <c r="C82" s="219">
        <f t="shared" si="12"/>
        <v>33</v>
      </c>
      <c r="D82" s="219">
        <f t="shared" si="12"/>
        <v>27</v>
      </c>
      <c r="E82" s="225">
        <f>SUM(E83:E90)</f>
        <v>60</v>
      </c>
      <c r="F82" s="219">
        <f t="shared" si="12"/>
        <v>850</v>
      </c>
      <c r="G82" s="219">
        <f t="shared" si="12"/>
        <v>239</v>
      </c>
      <c r="H82" s="225">
        <f>SUM(H83:H90)</f>
        <v>1089</v>
      </c>
    </row>
    <row r="83" spans="1:8" ht="30.75" customHeight="1">
      <c r="A83" s="229"/>
      <c r="B83" s="230" t="s">
        <v>375</v>
      </c>
      <c r="C83" s="219">
        <f t="shared" si="12"/>
        <v>0</v>
      </c>
      <c r="D83" s="219">
        <f t="shared" si="12"/>
        <v>0</v>
      </c>
      <c r="E83" s="219">
        <f aca="true" t="shared" si="13" ref="E83:E90">C83+D83</f>
        <v>0</v>
      </c>
      <c r="F83" s="219">
        <f t="shared" si="12"/>
        <v>37</v>
      </c>
      <c r="G83" s="219">
        <f t="shared" si="12"/>
        <v>22</v>
      </c>
      <c r="H83" s="219">
        <f aca="true" t="shared" si="14" ref="H83:H90">F83+G83</f>
        <v>59</v>
      </c>
    </row>
    <row r="84" spans="1:8" ht="30.75" customHeight="1">
      <c r="A84" s="229"/>
      <c r="B84" s="230" t="s">
        <v>328</v>
      </c>
      <c r="C84" s="219">
        <f t="shared" si="12"/>
        <v>0</v>
      </c>
      <c r="D84" s="219">
        <f t="shared" si="12"/>
        <v>0</v>
      </c>
      <c r="E84" s="219">
        <f t="shared" si="13"/>
        <v>0</v>
      </c>
      <c r="F84" s="219">
        <f t="shared" si="12"/>
        <v>3</v>
      </c>
      <c r="G84" s="219">
        <f t="shared" si="12"/>
        <v>5</v>
      </c>
      <c r="H84" s="219">
        <f t="shared" si="14"/>
        <v>8</v>
      </c>
    </row>
    <row r="85" spans="1:8" ht="31.5" customHeight="1">
      <c r="A85" s="229"/>
      <c r="B85" s="230" t="s">
        <v>329</v>
      </c>
      <c r="C85" s="219">
        <f t="shared" si="12"/>
        <v>6</v>
      </c>
      <c r="D85" s="219">
        <f t="shared" si="12"/>
        <v>10</v>
      </c>
      <c r="E85" s="219">
        <f t="shared" si="13"/>
        <v>16</v>
      </c>
      <c r="F85" s="219">
        <f t="shared" si="12"/>
        <v>55</v>
      </c>
      <c r="G85" s="219">
        <f t="shared" si="12"/>
        <v>44</v>
      </c>
      <c r="H85" s="219">
        <f t="shared" si="14"/>
        <v>99</v>
      </c>
    </row>
    <row r="86" spans="1:8" ht="30" customHeight="1">
      <c r="A86" s="229"/>
      <c r="B86" s="231" t="s">
        <v>225</v>
      </c>
      <c r="C86" s="219">
        <f t="shared" si="12"/>
        <v>7</v>
      </c>
      <c r="D86" s="219">
        <f t="shared" si="12"/>
        <v>5</v>
      </c>
      <c r="E86" s="219">
        <f t="shared" si="13"/>
        <v>12</v>
      </c>
      <c r="F86" s="219">
        <f t="shared" si="12"/>
        <v>35</v>
      </c>
      <c r="G86" s="219">
        <f t="shared" si="12"/>
        <v>39</v>
      </c>
      <c r="H86" s="219">
        <f t="shared" si="14"/>
        <v>74</v>
      </c>
    </row>
    <row r="87" spans="1:8" ht="35.25" customHeight="1">
      <c r="A87" s="229"/>
      <c r="B87" s="231" t="s">
        <v>226</v>
      </c>
      <c r="C87" s="219">
        <f t="shared" si="12"/>
        <v>3</v>
      </c>
      <c r="D87" s="219">
        <f t="shared" si="12"/>
        <v>2</v>
      </c>
      <c r="E87" s="219">
        <f t="shared" si="13"/>
        <v>5</v>
      </c>
      <c r="F87" s="219">
        <f t="shared" si="12"/>
        <v>36</v>
      </c>
      <c r="G87" s="219">
        <f t="shared" si="12"/>
        <v>19</v>
      </c>
      <c r="H87" s="219">
        <f t="shared" si="14"/>
        <v>55</v>
      </c>
    </row>
    <row r="88" spans="1:8" ht="25.5">
      <c r="A88" s="229"/>
      <c r="B88" s="231" t="s">
        <v>330</v>
      </c>
      <c r="C88" s="219">
        <f t="shared" si="12"/>
        <v>4</v>
      </c>
      <c r="D88" s="219">
        <f t="shared" si="12"/>
        <v>6</v>
      </c>
      <c r="E88" s="219">
        <f t="shared" si="13"/>
        <v>10</v>
      </c>
      <c r="F88" s="219">
        <f t="shared" si="12"/>
        <v>41</v>
      </c>
      <c r="G88" s="219">
        <f t="shared" si="12"/>
        <v>34</v>
      </c>
      <c r="H88" s="219">
        <f t="shared" si="14"/>
        <v>75</v>
      </c>
    </row>
    <row r="89" spans="1:8" ht="32.25" customHeight="1">
      <c r="A89" s="229"/>
      <c r="B89" s="231" t="s">
        <v>210</v>
      </c>
      <c r="C89" s="219">
        <f t="shared" si="12"/>
        <v>10</v>
      </c>
      <c r="D89" s="219">
        <f t="shared" si="12"/>
        <v>3</v>
      </c>
      <c r="E89" s="219">
        <f t="shared" si="13"/>
        <v>13</v>
      </c>
      <c r="F89" s="219">
        <f t="shared" si="12"/>
        <v>627</v>
      </c>
      <c r="G89" s="219">
        <f t="shared" si="12"/>
        <v>69</v>
      </c>
      <c r="H89" s="219">
        <f t="shared" si="14"/>
        <v>696</v>
      </c>
    </row>
    <row r="90" spans="1:8" ht="25.5">
      <c r="A90" s="229"/>
      <c r="B90" s="231" t="s">
        <v>211</v>
      </c>
      <c r="C90" s="219">
        <f t="shared" si="12"/>
        <v>3</v>
      </c>
      <c r="D90" s="219">
        <f t="shared" si="12"/>
        <v>1</v>
      </c>
      <c r="E90" s="219">
        <f t="shared" si="13"/>
        <v>4</v>
      </c>
      <c r="F90" s="219">
        <f t="shared" si="12"/>
        <v>16</v>
      </c>
      <c r="G90" s="219">
        <f t="shared" si="12"/>
        <v>7</v>
      </c>
      <c r="H90" s="219">
        <f t="shared" si="14"/>
        <v>23</v>
      </c>
    </row>
    <row r="91" spans="1:8" s="241" customFormat="1" ht="24.75" customHeight="1">
      <c r="A91" s="227">
        <v>4</v>
      </c>
      <c r="B91" s="232" t="s">
        <v>308</v>
      </c>
      <c r="C91" s="219">
        <f t="shared" si="12"/>
        <v>1423</v>
      </c>
      <c r="D91" s="219">
        <f t="shared" si="12"/>
        <v>941</v>
      </c>
      <c r="E91" s="225">
        <f>E82+E80+E78</f>
        <v>2364</v>
      </c>
      <c r="F91" s="219">
        <f t="shared" si="12"/>
        <v>20470</v>
      </c>
      <c r="G91" s="219">
        <f t="shared" si="12"/>
        <v>14122</v>
      </c>
      <c r="H91" s="225">
        <f>H82+H80+H78</f>
        <v>34592</v>
      </c>
    </row>
    <row r="92" spans="1:8" s="241" customFormat="1" ht="49.5" customHeight="1">
      <c r="A92" s="229"/>
      <c r="B92" s="231" t="s">
        <v>296</v>
      </c>
      <c r="C92" s="219">
        <f t="shared" si="12"/>
        <v>0</v>
      </c>
      <c r="D92" s="219">
        <f t="shared" si="12"/>
        <v>0</v>
      </c>
      <c r="E92" s="219">
        <f>C92+D92</f>
        <v>0</v>
      </c>
      <c r="F92" s="219">
        <f t="shared" si="12"/>
        <v>0</v>
      </c>
      <c r="G92" s="219">
        <f t="shared" si="12"/>
        <v>0</v>
      </c>
      <c r="H92" s="219">
        <f>F92+G92</f>
        <v>0</v>
      </c>
    </row>
    <row r="93" spans="1:8" s="241" customFormat="1" ht="24.75" customHeight="1">
      <c r="A93" s="229"/>
      <c r="B93" s="231" t="s">
        <v>333</v>
      </c>
      <c r="C93" s="219">
        <f t="shared" si="12"/>
        <v>0</v>
      </c>
      <c r="D93" s="219">
        <f t="shared" si="12"/>
        <v>0</v>
      </c>
      <c r="E93" s="219">
        <f>C93+D93</f>
        <v>0</v>
      </c>
      <c r="F93" s="219">
        <f t="shared" si="12"/>
        <v>0</v>
      </c>
      <c r="G93" s="219">
        <f t="shared" si="12"/>
        <v>0</v>
      </c>
      <c r="H93" s="219">
        <f>F93+G93</f>
        <v>0</v>
      </c>
    </row>
    <row r="94" spans="1:8" s="241" customFormat="1" ht="24.75" customHeight="1">
      <c r="A94" s="229"/>
      <c r="B94" s="231" t="s">
        <v>332</v>
      </c>
      <c r="C94" s="219">
        <f>C37+C56+C75</f>
        <v>180</v>
      </c>
      <c r="D94" s="219">
        <f>D37+D56+D75</f>
        <v>88</v>
      </c>
      <c r="E94" s="219">
        <f>C94+D94</f>
        <v>268</v>
      </c>
      <c r="F94" s="219">
        <f>F37+F56+F75</f>
        <v>1905</v>
      </c>
      <c r="G94" s="219">
        <f>G37+G56+G75</f>
        <v>1082</v>
      </c>
      <c r="H94" s="219">
        <f>F94+G94</f>
        <v>2987</v>
      </c>
    </row>
    <row r="95" spans="1:8" s="241" customFormat="1" ht="24.75" customHeight="1">
      <c r="A95" s="229"/>
      <c r="B95" s="318" t="s">
        <v>221</v>
      </c>
      <c r="C95" s="319">
        <f>C38+C57+C76</f>
        <v>483</v>
      </c>
      <c r="D95" s="319">
        <f>D38+D57+D76</f>
        <v>314</v>
      </c>
      <c r="E95" s="319">
        <f>C95+D95</f>
        <v>797</v>
      </c>
      <c r="F95" s="319">
        <f>F38+F57+F76</f>
        <v>7563</v>
      </c>
      <c r="G95" s="319">
        <f>G38+G57+G76</f>
        <v>5309</v>
      </c>
      <c r="H95" s="319">
        <f>F95+G95</f>
        <v>12872</v>
      </c>
    </row>
    <row r="96" spans="1:8" s="241" customFormat="1" ht="40.5" customHeight="1">
      <c r="A96" s="409" t="s">
        <v>424</v>
      </c>
      <c r="B96" s="409"/>
      <c r="C96" s="411" t="s">
        <v>425</v>
      </c>
      <c r="D96" s="411"/>
      <c r="E96" s="411"/>
      <c r="F96" s="411"/>
      <c r="G96" s="411"/>
      <c r="H96" s="411"/>
    </row>
    <row r="97" spans="1:8" s="241" customFormat="1" ht="49.5" customHeight="1">
      <c r="A97" s="409" t="s">
        <v>420</v>
      </c>
      <c r="B97" s="409"/>
      <c r="C97" s="410" t="s">
        <v>419</v>
      </c>
      <c r="D97" s="410"/>
      <c r="E97" s="410"/>
      <c r="F97" s="410"/>
      <c r="G97" s="410"/>
      <c r="H97" s="410"/>
    </row>
    <row r="98" spans="1:8" s="241" customFormat="1" ht="16.5" customHeight="1">
      <c r="A98" s="211"/>
      <c r="B98" s="211"/>
      <c r="C98" s="211"/>
      <c r="D98" s="211"/>
      <c r="E98" s="211"/>
      <c r="F98" s="211"/>
      <c r="G98" s="211"/>
      <c r="H98" s="211"/>
    </row>
    <row r="99" spans="1:2" ht="15.75">
      <c r="A99" s="384" t="s">
        <v>309</v>
      </c>
      <c r="B99" s="384"/>
    </row>
    <row r="100" spans="1:2" ht="15.75">
      <c r="A100" s="384" t="s">
        <v>310</v>
      </c>
      <c r="B100" s="384"/>
    </row>
  </sheetData>
  <sheetProtection/>
  <mergeCells count="27">
    <mergeCell ref="A1:H1"/>
    <mergeCell ref="A3:B3"/>
    <mergeCell ref="C3:H3"/>
    <mergeCell ref="A5:B5"/>
    <mergeCell ref="C5:H5"/>
    <mergeCell ref="A7:B7"/>
    <mergeCell ref="C7:H7"/>
    <mergeCell ref="A9:H9"/>
    <mergeCell ref="A10:H10"/>
    <mergeCell ref="A11:H11"/>
    <mergeCell ref="A13:E13"/>
    <mergeCell ref="A14:H14"/>
    <mergeCell ref="A15:H15"/>
    <mergeCell ref="A17:A18"/>
    <mergeCell ref="B17:B18"/>
    <mergeCell ref="C17:E17"/>
    <mergeCell ref="F17:H17"/>
    <mergeCell ref="A20:H20"/>
    <mergeCell ref="A39:H39"/>
    <mergeCell ref="A99:B99"/>
    <mergeCell ref="A100:B100"/>
    <mergeCell ref="A58:H58"/>
    <mergeCell ref="A77:H77"/>
    <mergeCell ref="A97:B97"/>
    <mergeCell ref="C97:H97"/>
    <mergeCell ref="A96:B96"/>
    <mergeCell ref="C96:H96"/>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M37"/>
  <sheetViews>
    <sheetView view="pageBreakPreview" zoomScale="120" zoomScaleSheetLayoutView="120" zoomScalePageLayoutView="0" workbookViewId="0" topLeftCell="A13">
      <selection activeCell="A20" sqref="A20:H20"/>
    </sheetView>
  </sheetViews>
  <sheetFormatPr defaultColWidth="9.140625" defaultRowHeight="12.75"/>
  <cols>
    <col min="1" max="1" width="3.7109375" style="3" customWidth="1"/>
    <col min="2" max="2" width="23.00390625" style="3" customWidth="1"/>
    <col min="3" max="8" width="11.8515625" style="3" customWidth="1"/>
    <col min="9" max="16384" width="9.140625" style="3" customWidth="1"/>
  </cols>
  <sheetData>
    <row r="1" spans="1:8" ht="27.75" customHeight="1">
      <c r="A1" s="427" t="s">
        <v>56</v>
      </c>
      <c r="B1" s="427"/>
      <c r="C1" s="427"/>
      <c r="D1" s="427"/>
      <c r="E1" s="427"/>
      <c r="F1" s="427"/>
      <c r="G1" s="427"/>
      <c r="H1" s="427"/>
    </row>
    <row r="2" spans="2:8" ht="12.75">
      <c r="B2" s="46"/>
      <c r="C2" s="46"/>
      <c r="D2" s="46"/>
      <c r="E2" s="47"/>
      <c r="F2" s="46"/>
      <c r="G2" s="46"/>
      <c r="H2" s="46"/>
    </row>
    <row r="3" spans="1:8" s="5" customFormat="1" ht="91.5" customHeight="1">
      <c r="A3" s="3"/>
      <c r="B3" s="31" t="s">
        <v>290</v>
      </c>
      <c r="C3" s="428" t="s">
        <v>407</v>
      </c>
      <c r="D3" s="429"/>
      <c r="E3" s="429"/>
      <c r="F3" s="429"/>
      <c r="G3" s="429"/>
      <c r="H3" s="430"/>
    </row>
    <row r="4" spans="2:8" s="5" customFormat="1" ht="14.25">
      <c r="B4" s="6"/>
      <c r="C4" s="48"/>
      <c r="D4" s="48"/>
      <c r="E4" s="49"/>
      <c r="F4" s="48"/>
      <c r="G4" s="48"/>
      <c r="H4" s="48"/>
    </row>
    <row r="5" spans="2:8" s="5" customFormat="1" ht="14.25">
      <c r="B5" s="31" t="s">
        <v>306</v>
      </c>
      <c r="C5" s="431" t="s">
        <v>408</v>
      </c>
      <c r="D5" s="429"/>
      <c r="E5" s="429"/>
      <c r="F5" s="429"/>
      <c r="G5" s="429"/>
      <c r="H5" s="430"/>
    </row>
    <row r="6" spans="2:8" s="5" customFormat="1" ht="14.25">
      <c r="B6" s="6"/>
      <c r="C6" s="48"/>
      <c r="D6" s="48"/>
      <c r="E6" s="24"/>
      <c r="F6" s="24"/>
      <c r="G6" s="24"/>
      <c r="H6" s="24"/>
    </row>
    <row r="7" spans="2:8" s="5" customFormat="1" ht="14.25">
      <c r="B7" s="31" t="s">
        <v>307</v>
      </c>
      <c r="C7" s="431" t="s">
        <v>427</v>
      </c>
      <c r="D7" s="429"/>
      <c r="E7" s="429"/>
      <c r="F7" s="429"/>
      <c r="G7" s="429"/>
      <c r="H7" s="430"/>
    </row>
    <row r="8" spans="2:8" s="5" customFormat="1" ht="12.75">
      <c r="B8" s="24"/>
      <c r="C8" s="24"/>
      <c r="D8" s="24"/>
      <c r="E8" s="24"/>
      <c r="F8" s="24"/>
      <c r="G8" s="24"/>
      <c r="H8" s="24"/>
    </row>
    <row r="9" spans="1:13" s="25" customFormat="1" ht="65.25" customHeight="1">
      <c r="A9" s="441" t="s">
        <v>44</v>
      </c>
      <c r="B9" s="441"/>
      <c r="C9" s="441"/>
      <c r="D9" s="441"/>
      <c r="E9" s="441"/>
      <c r="F9" s="441"/>
      <c r="G9" s="441"/>
      <c r="H9" s="441"/>
      <c r="I9" s="50"/>
      <c r="J9" s="50"/>
      <c r="K9" s="50"/>
      <c r="L9" s="50"/>
      <c r="M9" s="50"/>
    </row>
    <row r="10" spans="1:12" s="7" customFormat="1" ht="70.5" customHeight="1">
      <c r="A10" s="433" t="s">
        <v>62</v>
      </c>
      <c r="B10" s="433"/>
      <c r="C10" s="433"/>
      <c r="D10" s="433"/>
      <c r="E10" s="433"/>
      <c r="F10" s="433"/>
      <c r="G10" s="433"/>
      <c r="H10" s="433"/>
      <c r="I10" s="34"/>
      <c r="J10" s="34"/>
      <c r="K10" s="34"/>
      <c r="L10" s="34"/>
    </row>
    <row r="11" spans="1:12" s="7" customFormat="1" ht="66.75" customHeight="1">
      <c r="A11" s="434" t="s">
        <v>33</v>
      </c>
      <c r="B11" s="434"/>
      <c r="C11" s="434"/>
      <c r="D11" s="434"/>
      <c r="E11" s="434"/>
      <c r="F11" s="434"/>
      <c r="G11" s="434"/>
      <c r="H11" s="434"/>
      <c r="I11" s="34"/>
      <c r="J11" s="34"/>
      <c r="K11" s="34"/>
      <c r="L11" s="34"/>
    </row>
    <row r="12" spans="1:12" s="7" customFormat="1" ht="19.5" customHeight="1">
      <c r="A12" s="60"/>
      <c r="B12" s="60"/>
      <c r="C12" s="60"/>
      <c r="D12" s="60"/>
      <c r="E12" s="60"/>
      <c r="F12" s="60"/>
      <c r="G12" s="60"/>
      <c r="H12" s="60"/>
      <c r="I12" s="34"/>
      <c r="J12" s="34"/>
      <c r="K12" s="34"/>
      <c r="L12" s="34"/>
    </row>
    <row r="13" spans="1:12" s="7" customFormat="1" ht="15.75" customHeight="1">
      <c r="A13" s="435" t="s">
        <v>315</v>
      </c>
      <c r="B13" s="435"/>
      <c r="C13" s="435"/>
      <c r="D13" s="435"/>
      <c r="E13" s="435"/>
      <c r="F13" s="435"/>
      <c r="G13" s="435"/>
      <c r="H13" s="435"/>
      <c r="I13" s="33"/>
      <c r="J13" s="33"/>
      <c r="K13" s="33"/>
      <c r="L13" s="33"/>
    </row>
    <row r="14" spans="1:13" s="7" customFormat="1" ht="17.25" customHeight="1">
      <c r="A14" s="435" t="s">
        <v>316</v>
      </c>
      <c r="B14" s="435"/>
      <c r="C14" s="435"/>
      <c r="D14" s="435"/>
      <c r="E14" s="435"/>
      <c r="F14" s="435"/>
      <c r="G14" s="435"/>
      <c r="H14" s="435"/>
      <c r="I14" s="33"/>
      <c r="J14" s="33"/>
      <c r="K14" s="33"/>
      <c r="L14" s="33"/>
      <c r="M14" s="33"/>
    </row>
    <row r="15" spans="1:12" s="7" customFormat="1" ht="16.5" customHeight="1">
      <c r="A15" s="435" t="s">
        <v>317</v>
      </c>
      <c r="B15" s="435"/>
      <c r="C15" s="435"/>
      <c r="D15" s="435"/>
      <c r="E15" s="435"/>
      <c r="F15" s="435"/>
      <c r="G15" s="435"/>
      <c r="H15" s="435"/>
      <c r="I15" s="34"/>
      <c r="J15" s="34"/>
      <c r="K15" s="34"/>
      <c r="L15" s="34"/>
    </row>
    <row r="16" spans="2:12" s="7" customFormat="1" ht="12" customHeight="1" thickBot="1">
      <c r="B16" s="33"/>
      <c r="C16" s="34"/>
      <c r="D16" s="34"/>
      <c r="E16" s="34"/>
      <c r="F16" s="34"/>
      <c r="G16" s="34"/>
      <c r="H16" s="34"/>
      <c r="I16" s="34"/>
      <c r="J16" s="34"/>
      <c r="K16" s="34"/>
      <c r="L16" s="34"/>
    </row>
    <row r="17" spans="1:8" ht="22.5" customHeight="1">
      <c r="A17" s="438" t="s">
        <v>379</v>
      </c>
      <c r="B17" s="436" t="s">
        <v>374</v>
      </c>
      <c r="C17" s="436" t="s">
        <v>319</v>
      </c>
      <c r="D17" s="436"/>
      <c r="E17" s="436"/>
      <c r="F17" s="436" t="s">
        <v>320</v>
      </c>
      <c r="G17" s="436"/>
      <c r="H17" s="437"/>
    </row>
    <row r="18" spans="1:8" ht="14.25" customHeight="1">
      <c r="A18" s="439"/>
      <c r="B18" s="440"/>
      <c r="C18" s="27" t="s">
        <v>312</v>
      </c>
      <c r="D18" s="27" t="s">
        <v>313</v>
      </c>
      <c r="E18" s="27" t="s">
        <v>308</v>
      </c>
      <c r="F18" s="27" t="s">
        <v>312</v>
      </c>
      <c r="G18" s="27" t="s">
        <v>313</v>
      </c>
      <c r="H18" s="61" t="s">
        <v>308</v>
      </c>
    </row>
    <row r="19" spans="1:8" ht="12" customHeight="1" thickBot="1">
      <c r="A19" s="62">
        <v>1</v>
      </c>
      <c r="B19" s="63">
        <v>2</v>
      </c>
      <c r="C19" s="63">
        <v>3</v>
      </c>
      <c r="D19" s="63">
        <v>4</v>
      </c>
      <c r="E19" s="63">
        <v>5</v>
      </c>
      <c r="F19" s="63">
        <v>6</v>
      </c>
      <c r="G19" s="63">
        <v>7</v>
      </c>
      <c r="H19" s="64">
        <v>8</v>
      </c>
    </row>
    <row r="20" spans="1:8" ht="12" customHeight="1">
      <c r="A20" s="407" t="s">
        <v>266</v>
      </c>
      <c r="B20" s="408"/>
      <c r="C20" s="408"/>
      <c r="D20" s="408"/>
      <c r="E20" s="408"/>
      <c r="F20" s="408"/>
      <c r="G20" s="408"/>
      <c r="H20" s="408"/>
    </row>
    <row r="21" spans="1:8" ht="12.75">
      <c r="A21" s="65">
        <v>1</v>
      </c>
      <c r="B21" s="66" t="s">
        <v>222</v>
      </c>
      <c r="C21" s="247">
        <f>8408-7836</f>
        <v>572</v>
      </c>
      <c r="D21" s="247">
        <f>5369-5046</f>
        <v>323</v>
      </c>
      <c r="E21" s="242">
        <f>C21+D21</f>
        <v>895</v>
      </c>
      <c r="F21" s="247">
        <v>8408</v>
      </c>
      <c r="G21" s="247">
        <v>5369</v>
      </c>
      <c r="H21" s="242">
        <f>F21+G21</f>
        <v>13777</v>
      </c>
    </row>
    <row r="22" spans="1:8" ht="12.75">
      <c r="A22" s="67">
        <v>2</v>
      </c>
      <c r="B22" s="68" t="s">
        <v>34</v>
      </c>
      <c r="C22" s="248">
        <f>981-852</f>
        <v>129</v>
      </c>
      <c r="D22" s="248">
        <f>1289-1092</f>
        <v>197</v>
      </c>
      <c r="E22" s="242">
        <f>C22+D22</f>
        <v>326</v>
      </c>
      <c r="F22" s="248">
        <v>981</v>
      </c>
      <c r="G22" s="248">
        <v>1289</v>
      </c>
      <c r="H22" s="242">
        <f>F22+G22</f>
        <v>2270</v>
      </c>
    </row>
    <row r="23" spans="1:8" ht="25.5">
      <c r="A23" s="56"/>
      <c r="B23" s="69" t="s">
        <v>35</v>
      </c>
      <c r="C23" s="248">
        <v>1</v>
      </c>
      <c r="D23" s="248">
        <v>1</v>
      </c>
      <c r="E23" s="242">
        <f>C23+D23</f>
        <v>2</v>
      </c>
      <c r="F23" s="248">
        <v>24</v>
      </c>
      <c r="G23" s="248">
        <v>7</v>
      </c>
      <c r="H23" s="242">
        <f>F23+G23</f>
        <v>31</v>
      </c>
    </row>
    <row r="24" spans="1:8" ht="12.75">
      <c r="A24" s="407" t="s">
        <v>276</v>
      </c>
      <c r="B24" s="408"/>
      <c r="C24" s="408"/>
      <c r="D24" s="408"/>
      <c r="E24" s="408"/>
      <c r="F24" s="408"/>
      <c r="G24" s="408"/>
      <c r="H24" s="408"/>
    </row>
    <row r="25" spans="1:8" ht="12.75">
      <c r="A25" s="309">
        <v>1</v>
      </c>
      <c r="B25" s="310" t="s">
        <v>222</v>
      </c>
      <c r="C25" s="247">
        <f>94-91</f>
        <v>3</v>
      </c>
      <c r="D25" s="247">
        <f>117-114</f>
        <v>3</v>
      </c>
      <c r="E25" s="242">
        <f>D25+C25</f>
        <v>6</v>
      </c>
      <c r="F25" s="247">
        <v>94</v>
      </c>
      <c r="G25" s="247">
        <v>117</v>
      </c>
      <c r="H25" s="242">
        <f>F25+G25</f>
        <v>211</v>
      </c>
    </row>
    <row r="26" spans="1:8" ht="12.75">
      <c r="A26" s="311">
        <v>2</v>
      </c>
      <c r="B26" s="312" t="s">
        <v>34</v>
      </c>
      <c r="C26" s="248">
        <v>0</v>
      </c>
      <c r="D26" s="248">
        <f>33-31</f>
        <v>2</v>
      </c>
      <c r="E26" s="242">
        <f>D26+C26</f>
        <v>2</v>
      </c>
      <c r="F26" s="248">
        <v>14</v>
      </c>
      <c r="G26" s="248">
        <v>33</v>
      </c>
      <c r="H26" s="242">
        <f>F26+G26</f>
        <v>47</v>
      </c>
    </row>
    <row r="27" spans="1:8" ht="25.5">
      <c r="A27" s="313"/>
      <c r="B27" s="314" t="s">
        <v>35</v>
      </c>
      <c r="C27" s="248">
        <v>0</v>
      </c>
      <c r="D27" s="248">
        <v>0</v>
      </c>
      <c r="E27" s="242">
        <f>D27+C27</f>
        <v>0</v>
      </c>
      <c r="F27" s="248">
        <v>3</v>
      </c>
      <c r="G27" s="248">
        <v>5</v>
      </c>
      <c r="H27" s="242">
        <f>F27+G27</f>
        <v>8</v>
      </c>
    </row>
    <row r="28" spans="1:8" ht="12.75">
      <c r="A28" s="407" t="s">
        <v>278</v>
      </c>
      <c r="B28" s="408"/>
      <c r="C28" s="408"/>
      <c r="D28" s="408"/>
      <c r="E28" s="408"/>
      <c r="F28" s="408"/>
      <c r="G28" s="408"/>
      <c r="H28" s="408"/>
    </row>
    <row r="29" spans="1:8" ht="12.75">
      <c r="A29" s="309">
        <v>1</v>
      </c>
      <c r="B29" s="310" t="s">
        <v>222</v>
      </c>
      <c r="C29" s="247">
        <v>0</v>
      </c>
      <c r="D29" s="247">
        <v>0</v>
      </c>
      <c r="E29" s="242">
        <f>C29+D29</f>
        <v>0</v>
      </c>
      <c r="F29" s="247">
        <v>149</v>
      </c>
      <c r="G29" s="247">
        <v>115</v>
      </c>
      <c r="H29" s="242">
        <f>F29+G29</f>
        <v>264</v>
      </c>
    </row>
    <row r="30" spans="1:8" ht="12.75">
      <c r="A30" s="311">
        <v>2</v>
      </c>
      <c r="B30" s="312" t="s">
        <v>34</v>
      </c>
      <c r="C30" s="248">
        <v>0</v>
      </c>
      <c r="D30" s="248">
        <f>21-21</f>
        <v>0</v>
      </c>
      <c r="E30" s="242">
        <f>C30+D30</f>
        <v>0</v>
      </c>
      <c r="F30" s="248">
        <v>61</v>
      </c>
      <c r="G30" s="248">
        <v>21</v>
      </c>
      <c r="H30" s="242">
        <f>F30+G30</f>
        <v>82</v>
      </c>
    </row>
    <row r="31" spans="1:8" ht="25.5">
      <c r="A31" s="313"/>
      <c r="B31" s="314" t="s">
        <v>35</v>
      </c>
      <c r="C31" s="248">
        <f>21-21</f>
        <v>0</v>
      </c>
      <c r="D31" s="248">
        <v>0</v>
      </c>
      <c r="E31" s="242">
        <f>C31+D31</f>
        <v>0</v>
      </c>
      <c r="F31" s="248">
        <v>21</v>
      </c>
      <c r="G31" s="248">
        <v>5</v>
      </c>
      <c r="H31" s="242">
        <f>F31+G31</f>
        <v>26</v>
      </c>
    </row>
    <row r="32" spans="1:8" ht="12.75" customHeight="1">
      <c r="A32" s="407" t="s">
        <v>415</v>
      </c>
      <c r="B32" s="408"/>
      <c r="C32" s="408"/>
      <c r="D32" s="408"/>
      <c r="E32" s="408"/>
      <c r="F32" s="408"/>
      <c r="G32" s="408"/>
      <c r="H32" s="408"/>
    </row>
    <row r="33" spans="1:8" ht="12.75">
      <c r="A33" s="65">
        <v>1</v>
      </c>
      <c r="B33" s="66" t="s">
        <v>222</v>
      </c>
      <c r="C33" s="242">
        <f aca="true" t="shared" si="0" ref="C33:H33">C21+C25+C29</f>
        <v>575</v>
      </c>
      <c r="D33" s="242">
        <f t="shared" si="0"/>
        <v>326</v>
      </c>
      <c r="E33" s="242">
        <f t="shared" si="0"/>
        <v>901</v>
      </c>
      <c r="F33" s="242">
        <f t="shared" si="0"/>
        <v>8651</v>
      </c>
      <c r="G33" s="242">
        <f t="shared" si="0"/>
        <v>5601</v>
      </c>
      <c r="H33" s="242">
        <f t="shared" si="0"/>
        <v>14252</v>
      </c>
    </row>
    <row r="34" spans="1:8" ht="12.75">
      <c r="A34" s="67">
        <v>2</v>
      </c>
      <c r="B34" s="68" t="s">
        <v>34</v>
      </c>
      <c r="C34" s="242">
        <f aca="true" t="shared" si="1" ref="C34:H35">C22+C26+C30</f>
        <v>129</v>
      </c>
      <c r="D34" s="242">
        <f t="shared" si="1"/>
        <v>199</v>
      </c>
      <c r="E34" s="242">
        <f t="shared" si="1"/>
        <v>328</v>
      </c>
      <c r="F34" s="242">
        <f t="shared" si="1"/>
        <v>1056</v>
      </c>
      <c r="G34" s="242">
        <f t="shared" si="1"/>
        <v>1343</v>
      </c>
      <c r="H34" s="242">
        <f t="shared" si="1"/>
        <v>2399</v>
      </c>
    </row>
    <row r="35" spans="1:8" ht="25.5">
      <c r="A35" s="56"/>
      <c r="B35" s="69" t="s">
        <v>35</v>
      </c>
      <c r="C35" s="242">
        <f t="shared" si="1"/>
        <v>1</v>
      </c>
      <c r="D35" s="242">
        <f t="shared" si="1"/>
        <v>1</v>
      </c>
      <c r="E35" s="242">
        <f t="shared" si="1"/>
        <v>2</v>
      </c>
      <c r="F35" s="242">
        <f t="shared" si="1"/>
        <v>48</v>
      </c>
      <c r="G35" s="242">
        <f t="shared" si="1"/>
        <v>17</v>
      </c>
      <c r="H35" s="242">
        <f t="shared" si="1"/>
        <v>65</v>
      </c>
    </row>
    <row r="36" spans="1:2" ht="14.25" customHeight="1">
      <c r="A36" s="432" t="s">
        <v>309</v>
      </c>
      <c r="B36" s="432"/>
    </row>
    <row r="37" spans="1:4" ht="15.75" customHeight="1">
      <c r="A37" s="432" t="s">
        <v>310</v>
      </c>
      <c r="B37" s="432"/>
      <c r="C37" s="432"/>
      <c r="D37" s="432"/>
    </row>
  </sheetData>
  <sheetProtection selectLockedCells="1" selectUnlockedCells="1"/>
  <mergeCells count="20">
    <mergeCell ref="A37:D37"/>
    <mergeCell ref="C7:H7"/>
    <mergeCell ref="C17:E17"/>
    <mergeCell ref="F17:H17"/>
    <mergeCell ref="A17:A18"/>
    <mergeCell ref="B17:B18"/>
    <mergeCell ref="A15:H15"/>
    <mergeCell ref="A9:H9"/>
    <mergeCell ref="A20:H20"/>
    <mergeCell ref="A32:H32"/>
    <mergeCell ref="A28:H28"/>
    <mergeCell ref="A24:H24"/>
    <mergeCell ref="A1:H1"/>
    <mergeCell ref="C3:H3"/>
    <mergeCell ref="C5:H5"/>
    <mergeCell ref="A36:B36"/>
    <mergeCell ref="A10:H10"/>
    <mergeCell ref="A11:H11"/>
    <mergeCell ref="A13:H13"/>
    <mergeCell ref="A14:H14"/>
  </mergeCells>
  <printOptions/>
  <pageMargins left="0.7480314960629921" right="0.7480314960629921" top="0.984251968503937" bottom="0.984251968503937"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H49"/>
  <sheetViews>
    <sheetView view="pageBreakPreview" zoomScale="120" zoomScaleSheetLayoutView="120" zoomScalePageLayoutView="0" workbookViewId="0" topLeftCell="A13">
      <selection activeCell="E26" sqref="E26"/>
    </sheetView>
  </sheetViews>
  <sheetFormatPr defaultColWidth="9.140625" defaultRowHeight="12.75"/>
  <cols>
    <col min="1" max="1" width="3.7109375" style="3" customWidth="1"/>
    <col min="2" max="2" width="23.00390625" style="3" customWidth="1"/>
    <col min="3" max="8" width="11.28125" style="3" customWidth="1"/>
    <col min="9" max="16384" width="9.140625" style="3" customWidth="1"/>
  </cols>
  <sheetData>
    <row r="1" spans="1:8" ht="27.75" customHeight="1">
      <c r="A1" s="427" t="s">
        <v>63</v>
      </c>
      <c r="B1" s="427"/>
      <c r="C1" s="427"/>
      <c r="D1" s="427"/>
      <c r="E1" s="427"/>
      <c r="F1" s="427"/>
      <c r="G1" s="427"/>
      <c r="H1" s="427"/>
    </row>
    <row r="2" spans="2:8" ht="12.75">
      <c r="B2" s="46"/>
      <c r="C2" s="46"/>
      <c r="D2" s="46"/>
      <c r="E2" s="47"/>
      <c r="F2" s="46"/>
      <c r="G2" s="46"/>
      <c r="H2" s="46"/>
    </row>
    <row r="3" spans="1:8" s="5" customFormat="1" ht="79.5" customHeight="1">
      <c r="A3" s="3"/>
      <c r="B3" s="31" t="s">
        <v>290</v>
      </c>
      <c r="C3" s="428" t="s">
        <v>407</v>
      </c>
      <c r="D3" s="429"/>
      <c r="E3" s="429"/>
      <c r="F3" s="429"/>
      <c r="G3" s="429"/>
      <c r="H3" s="430"/>
    </row>
    <row r="4" spans="2:8" s="5" customFormat="1" ht="14.25">
      <c r="B4" s="6"/>
      <c r="C4" s="48"/>
      <c r="D4" s="48"/>
      <c r="E4" s="49"/>
      <c r="F4" s="48"/>
      <c r="G4" s="48"/>
      <c r="H4" s="48"/>
    </row>
    <row r="5" spans="2:8" s="5" customFormat="1" ht="14.25">
      <c r="B5" s="31" t="s">
        <v>306</v>
      </c>
      <c r="C5" s="431" t="s">
        <v>408</v>
      </c>
      <c r="D5" s="429"/>
      <c r="E5" s="429"/>
      <c r="F5" s="429"/>
      <c r="G5" s="429"/>
      <c r="H5" s="430"/>
    </row>
    <row r="6" spans="2:8" s="5" customFormat="1" ht="14.25">
      <c r="B6" s="6"/>
      <c r="C6" s="48"/>
      <c r="D6" s="48"/>
      <c r="E6" s="24"/>
      <c r="F6" s="24"/>
      <c r="G6" s="24"/>
      <c r="H6" s="24"/>
    </row>
    <row r="7" spans="2:8" s="5" customFormat="1" ht="14.25">
      <c r="B7" s="31" t="s">
        <v>307</v>
      </c>
      <c r="C7" s="431" t="s">
        <v>427</v>
      </c>
      <c r="D7" s="429"/>
      <c r="E7" s="429"/>
      <c r="F7" s="429"/>
      <c r="G7" s="429"/>
      <c r="H7" s="430"/>
    </row>
    <row r="8" spans="2:8" s="5" customFormat="1" ht="12.75">
      <c r="B8" s="24"/>
      <c r="C8" s="24"/>
      <c r="D8" s="24"/>
      <c r="E8" s="24"/>
      <c r="F8" s="24"/>
      <c r="G8" s="24"/>
      <c r="H8" s="24"/>
    </row>
    <row r="9" spans="1:8" s="25" customFormat="1" ht="65.25" customHeight="1">
      <c r="A9" s="441" t="s">
        <v>44</v>
      </c>
      <c r="B9" s="441"/>
      <c r="C9" s="441"/>
      <c r="D9" s="441"/>
      <c r="E9" s="441"/>
      <c r="F9" s="441"/>
      <c r="G9" s="441"/>
      <c r="H9" s="441"/>
    </row>
    <row r="10" spans="1:8" s="25" customFormat="1" ht="53.25" customHeight="1">
      <c r="A10" s="433" t="s">
        <v>64</v>
      </c>
      <c r="B10" s="444"/>
      <c r="C10" s="444"/>
      <c r="D10" s="444"/>
      <c r="E10" s="444"/>
      <c r="F10" s="444"/>
      <c r="G10" s="444"/>
      <c r="H10" s="444"/>
    </row>
    <row r="11" spans="1:8" s="25" customFormat="1" ht="93" customHeight="1">
      <c r="A11" s="433" t="s">
        <v>48</v>
      </c>
      <c r="B11" s="433"/>
      <c r="C11" s="433"/>
      <c r="D11" s="433"/>
      <c r="E11" s="433"/>
      <c r="F11" s="433"/>
      <c r="G11" s="433"/>
      <c r="H11" s="433"/>
    </row>
    <row r="12" spans="1:8" s="25" customFormat="1" ht="50.25" customHeight="1">
      <c r="A12" s="433" t="s">
        <v>304</v>
      </c>
      <c r="B12" s="433"/>
      <c r="C12" s="433"/>
      <c r="D12" s="433"/>
      <c r="E12" s="433"/>
      <c r="F12" s="433"/>
      <c r="G12" s="433"/>
      <c r="H12" s="433"/>
    </row>
    <row r="13" spans="1:8" s="25" customFormat="1" ht="19.5" customHeight="1">
      <c r="A13" s="51"/>
      <c r="B13" s="51"/>
      <c r="C13" s="51"/>
      <c r="D13" s="51"/>
      <c r="E13" s="51"/>
      <c r="F13" s="51"/>
      <c r="G13" s="51"/>
      <c r="H13" s="51"/>
    </row>
    <row r="14" spans="1:8" s="7" customFormat="1" ht="15.75" customHeight="1">
      <c r="A14" s="435" t="s">
        <v>315</v>
      </c>
      <c r="B14" s="435"/>
      <c r="C14" s="435"/>
      <c r="D14" s="435"/>
      <c r="E14" s="435"/>
      <c r="F14" s="435"/>
      <c r="G14" s="435"/>
      <c r="H14" s="435"/>
    </row>
    <row r="15" spans="1:8" s="7" customFormat="1" ht="17.25" customHeight="1">
      <c r="A15" s="435" t="s">
        <v>316</v>
      </c>
      <c r="B15" s="435"/>
      <c r="C15" s="435"/>
      <c r="D15" s="435"/>
      <c r="E15" s="435"/>
      <c r="F15" s="435"/>
      <c r="G15" s="435"/>
      <c r="H15" s="435"/>
    </row>
    <row r="16" spans="1:8" s="7" customFormat="1" ht="16.5" customHeight="1">
      <c r="A16" s="435" t="s">
        <v>317</v>
      </c>
      <c r="B16" s="435"/>
      <c r="C16" s="435"/>
      <c r="D16" s="435"/>
      <c r="E16" s="435"/>
      <c r="F16" s="435"/>
      <c r="G16" s="435"/>
      <c r="H16" s="435"/>
    </row>
    <row r="17" spans="2:8" s="7" customFormat="1" ht="12" customHeight="1" thickBot="1">
      <c r="B17" s="33"/>
      <c r="C17" s="34"/>
      <c r="D17" s="34"/>
      <c r="E17" s="34"/>
      <c r="F17" s="34"/>
      <c r="G17" s="34"/>
      <c r="H17" s="34"/>
    </row>
    <row r="18" spans="1:8" ht="19.5" customHeight="1">
      <c r="A18" s="442" t="s">
        <v>379</v>
      </c>
      <c r="B18" s="448" t="s">
        <v>214</v>
      </c>
      <c r="C18" s="448" t="s">
        <v>319</v>
      </c>
      <c r="D18" s="448"/>
      <c r="E18" s="448"/>
      <c r="F18" s="448" t="s">
        <v>320</v>
      </c>
      <c r="G18" s="448"/>
      <c r="H18" s="449"/>
    </row>
    <row r="19" spans="1:8" ht="18.75" customHeight="1">
      <c r="A19" s="443"/>
      <c r="B19" s="450"/>
      <c r="C19" s="14" t="s">
        <v>312</v>
      </c>
      <c r="D19" s="14" t="s">
        <v>313</v>
      </c>
      <c r="E19" s="14" t="s">
        <v>308</v>
      </c>
      <c r="F19" s="14" t="s">
        <v>312</v>
      </c>
      <c r="G19" s="14" t="s">
        <v>313</v>
      </c>
      <c r="H19" s="52" t="s">
        <v>308</v>
      </c>
    </row>
    <row r="20" spans="1:8" ht="13.5" customHeight="1" thickBot="1">
      <c r="A20" s="53">
        <v>1</v>
      </c>
      <c r="B20" s="54">
        <v>2</v>
      </c>
      <c r="C20" s="54">
        <v>3</v>
      </c>
      <c r="D20" s="54">
        <v>4</v>
      </c>
      <c r="E20" s="54">
        <v>5</v>
      </c>
      <c r="F20" s="54">
        <v>6</v>
      </c>
      <c r="G20" s="54">
        <v>7</v>
      </c>
      <c r="H20" s="55">
        <v>8</v>
      </c>
    </row>
    <row r="21" spans="1:8" ht="13.5" customHeight="1">
      <c r="A21" s="407" t="s">
        <v>266</v>
      </c>
      <c r="B21" s="408"/>
      <c r="C21" s="408"/>
      <c r="D21" s="408"/>
      <c r="E21" s="408"/>
      <c r="F21" s="408"/>
      <c r="G21" s="408"/>
      <c r="H21" s="408"/>
    </row>
    <row r="22" spans="1:8" ht="27" customHeight="1">
      <c r="A22" s="56">
        <v>1</v>
      </c>
      <c r="B22" s="57" t="s">
        <v>378</v>
      </c>
      <c r="C22" s="245">
        <f>1823-1697</f>
        <v>126</v>
      </c>
      <c r="D22" s="245">
        <f>2538-2370</f>
        <v>168</v>
      </c>
      <c r="E22" s="245">
        <f>C22+D22</f>
        <v>294</v>
      </c>
      <c r="F22" s="245">
        <v>1823</v>
      </c>
      <c r="G22" s="245">
        <v>2538</v>
      </c>
      <c r="H22" s="245">
        <f>F22+G22</f>
        <v>4361</v>
      </c>
    </row>
    <row r="23" spans="1:8" ht="21" customHeight="1">
      <c r="A23" s="58">
        <v>2</v>
      </c>
      <c r="B23" s="59" t="s">
        <v>195</v>
      </c>
      <c r="C23" s="246">
        <f>10973-10221</f>
        <v>752</v>
      </c>
      <c r="D23" s="246">
        <f>8387-7831</f>
        <v>556</v>
      </c>
      <c r="E23" s="245">
        <f>C23+D23</f>
        <v>1308</v>
      </c>
      <c r="F23" s="246">
        <v>10973</v>
      </c>
      <c r="G23" s="246">
        <v>8387</v>
      </c>
      <c r="H23" s="245">
        <f>F23+G23</f>
        <v>19360</v>
      </c>
    </row>
    <row r="24" spans="1:8" ht="21" customHeight="1">
      <c r="A24" s="58">
        <v>3</v>
      </c>
      <c r="B24" s="59" t="s">
        <v>376</v>
      </c>
      <c r="C24" s="246">
        <f>1658-1535</f>
        <v>123</v>
      </c>
      <c r="D24" s="246">
        <f>647-606</f>
        <v>41</v>
      </c>
      <c r="E24" s="245">
        <f>C24+D24</f>
        <v>164</v>
      </c>
      <c r="F24" s="246">
        <v>1658</v>
      </c>
      <c r="G24" s="246">
        <v>647</v>
      </c>
      <c r="H24" s="245">
        <f>F24+G24</f>
        <v>2305</v>
      </c>
    </row>
    <row r="25" spans="1:8" ht="21" customHeight="1">
      <c r="A25" s="58">
        <v>4</v>
      </c>
      <c r="B25" s="59" t="s">
        <v>377</v>
      </c>
      <c r="C25" s="246">
        <f>4854-4479</f>
        <v>375</v>
      </c>
      <c r="D25" s="246">
        <f>1771-1632</f>
        <v>139</v>
      </c>
      <c r="E25" s="245">
        <f>C25+D25</f>
        <v>514</v>
      </c>
      <c r="F25" s="246">
        <v>4854</v>
      </c>
      <c r="G25" s="246">
        <v>1771</v>
      </c>
      <c r="H25" s="245">
        <f>F25+G25</f>
        <v>6625</v>
      </c>
    </row>
    <row r="26" spans="1:8" ht="21" customHeight="1">
      <c r="A26" s="58">
        <v>5</v>
      </c>
      <c r="B26" s="75" t="s">
        <v>308</v>
      </c>
      <c r="C26" s="243">
        <f>SUM(C22:C25)</f>
        <v>1376</v>
      </c>
      <c r="D26" s="243">
        <f>SUM(D22:D25)</f>
        <v>904</v>
      </c>
      <c r="E26" s="244">
        <f>C26+D26</f>
        <v>2280</v>
      </c>
      <c r="F26" s="243">
        <f>SUM(F22:F25)</f>
        <v>19308</v>
      </c>
      <c r="G26" s="243">
        <f>SUM(G22:G25)</f>
        <v>13343</v>
      </c>
      <c r="H26" s="244">
        <f>F26+G26</f>
        <v>32651</v>
      </c>
    </row>
    <row r="27" spans="1:8" ht="21" customHeight="1">
      <c r="A27" s="407" t="s">
        <v>276</v>
      </c>
      <c r="B27" s="408"/>
      <c r="C27" s="408"/>
      <c r="D27" s="408"/>
      <c r="E27" s="408"/>
      <c r="F27" s="408"/>
      <c r="G27" s="408"/>
      <c r="H27" s="408"/>
    </row>
    <row r="28" spans="1:8" ht="30.75" customHeight="1">
      <c r="A28" s="313">
        <v>1</v>
      </c>
      <c r="B28" s="315" t="s">
        <v>378</v>
      </c>
      <c r="C28" s="245">
        <f>8-7</f>
        <v>1</v>
      </c>
      <c r="D28" s="245">
        <f>23-22</f>
        <v>1</v>
      </c>
      <c r="E28" s="245">
        <f>C28+D28</f>
        <v>2</v>
      </c>
      <c r="F28" s="245">
        <v>8</v>
      </c>
      <c r="G28" s="245">
        <v>23</v>
      </c>
      <c r="H28" s="245">
        <f>F28+G28</f>
        <v>31</v>
      </c>
    </row>
    <row r="29" spans="1:8" ht="21" customHeight="1">
      <c r="A29" s="316">
        <v>2</v>
      </c>
      <c r="B29" s="317" t="s">
        <v>195</v>
      </c>
      <c r="C29" s="246">
        <f>142-132</f>
        <v>10</v>
      </c>
      <c r="D29" s="246">
        <f>198-186</f>
        <v>12</v>
      </c>
      <c r="E29" s="245">
        <f>C29+D29</f>
        <v>22</v>
      </c>
      <c r="F29" s="246">
        <v>142</v>
      </c>
      <c r="G29" s="246">
        <v>198</v>
      </c>
      <c r="H29" s="245">
        <f>F29+G29</f>
        <v>340</v>
      </c>
    </row>
    <row r="30" spans="1:8" ht="21" customHeight="1">
      <c r="A30" s="316">
        <v>3</v>
      </c>
      <c r="B30" s="317" t="s">
        <v>376</v>
      </c>
      <c r="C30" s="246">
        <f>95-85</f>
        <v>10</v>
      </c>
      <c r="D30" s="246">
        <f>80-70</f>
        <v>10</v>
      </c>
      <c r="E30" s="245">
        <f>C30+D30</f>
        <v>20</v>
      </c>
      <c r="F30" s="246">
        <v>95</v>
      </c>
      <c r="G30" s="246">
        <v>80</v>
      </c>
      <c r="H30" s="245">
        <f>F30+G30</f>
        <v>175</v>
      </c>
    </row>
    <row r="31" spans="1:8" ht="21" customHeight="1">
      <c r="A31" s="316">
        <v>4</v>
      </c>
      <c r="B31" s="317" t="s">
        <v>377</v>
      </c>
      <c r="C31" s="246">
        <f>332-306</f>
        <v>26</v>
      </c>
      <c r="D31" s="246">
        <f>216-202</f>
        <v>14</v>
      </c>
      <c r="E31" s="245">
        <f>C31+D31</f>
        <v>40</v>
      </c>
      <c r="F31" s="246">
        <v>332</v>
      </c>
      <c r="G31" s="246">
        <v>216</v>
      </c>
      <c r="H31" s="245">
        <f>F31+G31</f>
        <v>548</v>
      </c>
    </row>
    <row r="32" spans="1:8" ht="21" customHeight="1">
      <c r="A32" s="316">
        <v>5</v>
      </c>
      <c r="B32" s="75" t="s">
        <v>308</v>
      </c>
      <c r="C32" s="243">
        <f>SUM(C28:C31)</f>
        <v>47</v>
      </c>
      <c r="D32" s="243">
        <f>SUM(D28:D31)</f>
        <v>37</v>
      </c>
      <c r="E32" s="244">
        <f>C32+D32</f>
        <v>84</v>
      </c>
      <c r="F32" s="243">
        <f>SUM(F28:F31)</f>
        <v>577</v>
      </c>
      <c r="G32" s="243">
        <f>SUM(G28:G31)</f>
        <v>517</v>
      </c>
      <c r="H32" s="244">
        <f>F32+G32</f>
        <v>1094</v>
      </c>
    </row>
    <row r="33" spans="1:8" ht="21" customHeight="1">
      <c r="A33" s="407" t="s">
        <v>278</v>
      </c>
      <c r="B33" s="408"/>
      <c r="C33" s="408"/>
      <c r="D33" s="408"/>
      <c r="E33" s="408"/>
      <c r="F33" s="408"/>
      <c r="G33" s="408"/>
      <c r="H33" s="408"/>
    </row>
    <row r="34" spans="1:8" ht="28.5" customHeight="1">
      <c r="A34" s="313">
        <v>1</v>
      </c>
      <c r="B34" s="315" t="s">
        <v>378</v>
      </c>
      <c r="C34" s="245">
        <v>0</v>
      </c>
      <c r="D34" s="245">
        <v>0</v>
      </c>
      <c r="E34" s="245">
        <f>C34+D34</f>
        <v>0</v>
      </c>
      <c r="F34" s="245">
        <v>130</v>
      </c>
      <c r="G34" s="245">
        <v>75</v>
      </c>
      <c r="H34" s="245">
        <f>F34+G34</f>
        <v>205</v>
      </c>
    </row>
    <row r="35" spans="1:8" ht="21" customHeight="1">
      <c r="A35" s="316">
        <v>2</v>
      </c>
      <c r="B35" s="317" t="s">
        <v>195</v>
      </c>
      <c r="C35" s="246">
        <v>0</v>
      </c>
      <c r="D35" s="246">
        <v>0</v>
      </c>
      <c r="E35" s="245">
        <f>C35+D35</f>
        <v>0</v>
      </c>
      <c r="F35" s="246">
        <v>347</v>
      </c>
      <c r="G35" s="246">
        <v>153</v>
      </c>
      <c r="H35" s="245">
        <f>F35+G35</f>
        <v>500</v>
      </c>
    </row>
    <row r="36" spans="1:8" ht="21" customHeight="1">
      <c r="A36" s="316">
        <v>3</v>
      </c>
      <c r="B36" s="317" t="s">
        <v>376</v>
      </c>
      <c r="C36" s="246">
        <v>0</v>
      </c>
      <c r="D36" s="246">
        <v>0</v>
      </c>
      <c r="E36" s="245">
        <f>C36+D36</f>
        <v>0</v>
      </c>
      <c r="F36" s="246">
        <v>64</v>
      </c>
      <c r="G36" s="246">
        <v>16</v>
      </c>
      <c r="H36" s="245">
        <f>F36+G36</f>
        <v>80</v>
      </c>
    </row>
    <row r="37" spans="1:8" ht="21" customHeight="1">
      <c r="A37" s="316">
        <v>4</v>
      </c>
      <c r="B37" s="317" t="s">
        <v>377</v>
      </c>
      <c r="C37" s="246">
        <v>0</v>
      </c>
      <c r="D37" s="246">
        <v>0</v>
      </c>
      <c r="E37" s="245">
        <f>C37+D37</f>
        <v>0</v>
      </c>
      <c r="F37" s="246">
        <v>44</v>
      </c>
      <c r="G37" s="246">
        <v>18</v>
      </c>
      <c r="H37" s="245">
        <f>F37+G37</f>
        <v>62</v>
      </c>
    </row>
    <row r="38" spans="1:8" ht="21" customHeight="1">
      <c r="A38" s="316">
        <v>5</v>
      </c>
      <c r="B38" s="75" t="s">
        <v>308</v>
      </c>
      <c r="C38" s="243">
        <f>SUM(C34:C37)</f>
        <v>0</v>
      </c>
      <c r="D38" s="243">
        <f>SUM(D34:D37)</f>
        <v>0</v>
      </c>
      <c r="E38" s="244">
        <f>C38+D38</f>
        <v>0</v>
      </c>
      <c r="F38" s="243">
        <f>SUM(F34:F37)</f>
        <v>585</v>
      </c>
      <c r="G38" s="243">
        <f>SUM(G34:G37)</f>
        <v>262</v>
      </c>
      <c r="H38" s="244">
        <f>F38+G38</f>
        <v>847</v>
      </c>
    </row>
    <row r="39" spans="1:8" ht="21" customHeight="1">
      <c r="A39" s="407" t="s">
        <v>415</v>
      </c>
      <c r="B39" s="408"/>
      <c r="C39" s="408"/>
      <c r="D39" s="408"/>
      <c r="E39" s="408"/>
      <c r="F39" s="408"/>
      <c r="G39" s="408"/>
      <c r="H39" s="408"/>
    </row>
    <row r="40" spans="1:8" ht="26.25" customHeight="1">
      <c r="A40" s="56">
        <v>1</v>
      </c>
      <c r="B40" s="57" t="s">
        <v>378</v>
      </c>
      <c r="C40" s="245">
        <f aca="true" t="shared" si="0" ref="C40:H40">C22+C28+C34</f>
        <v>127</v>
      </c>
      <c r="D40" s="245">
        <f t="shared" si="0"/>
        <v>169</v>
      </c>
      <c r="E40" s="245">
        <f t="shared" si="0"/>
        <v>296</v>
      </c>
      <c r="F40" s="245">
        <f t="shared" si="0"/>
        <v>1961</v>
      </c>
      <c r="G40" s="245">
        <f t="shared" si="0"/>
        <v>2636</v>
      </c>
      <c r="H40" s="245">
        <f t="shared" si="0"/>
        <v>4597</v>
      </c>
    </row>
    <row r="41" spans="1:8" ht="21" customHeight="1">
      <c r="A41" s="58">
        <v>2</v>
      </c>
      <c r="B41" s="59" t="s">
        <v>195</v>
      </c>
      <c r="C41" s="245">
        <f aca="true" t="shared" si="1" ref="C41:H44">C23+C29+C35</f>
        <v>762</v>
      </c>
      <c r="D41" s="245">
        <f t="shared" si="1"/>
        <v>568</v>
      </c>
      <c r="E41" s="245">
        <f t="shared" si="1"/>
        <v>1330</v>
      </c>
      <c r="F41" s="245">
        <f t="shared" si="1"/>
        <v>11462</v>
      </c>
      <c r="G41" s="245">
        <f t="shared" si="1"/>
        <v>8738</v>
      </c>
      <c r="H41" s="245">
        <f t="shared" si="1"/>
        <v>20200</v>
      </c>
    </row>
    <row r="42" spans="1:8" ht="21" customHeight="1">
      <c r="A42" s="58">
        <v>3</v>
      </c>
      <c r="B42" s="59" t="s">
        <v>376</v>
      </c>
      <c r="C42" s="245">
        <f t="shared" si="1"/>
        <v>133</v>
      </c>
      <c r="D42" s="245">
        <f t="shared" si="1"/>
        <v>51</v>
      </c>
      <c r="E42" s="245">
        <f t="shared" si="1"/>
        <v>184</v>
      </c>
      <c r="F42" s="245">
        <f t="shared" si="1"/>
        <v>1817</v>
      </c>
      <c r="G42" s="245">
        <f t="shared" si="1"/>
        <v>743</v>
      </c>
      <c r="H42" s="245">
        <f t="shared" si="1"/>
        <v>2560</v>
      </c>
    </row>
    <row r="43" spans="1:8" ht="21" customHeight="1">
      <c r="A43" s="58">
        <v>4</v>
      </c>
      <c r="B43" s="59" t="s">
        <v>377</v>
      </c>
      <c r="C43" s="245">
        <f t="shared" si="1"/>
        <v>401</v>
      </c>
      <c r="D43" s="245">
        <f t="shared" si="1"/>
        <v>153</v>
      </c>
      <c r="E43" s="245">
        <f t="shared" si="1"/>
        <v>554</v>
      </c>
      <c r="F43" s="245">
        <f t="shared" si="1"/>
        <v>5230</v>
      </c>
      <c r="G43" s="245">
        <f t="shared" si="1"/>
        <v>2005</v>
      </c>
      <c r="H43" s="245">
        <f t="shared" si="1"/>
        <v>7235</v>
      </c>
    </row>
    <row r="44" spans="1:8" ht="21" customHeight="1">
      <c r="A44" s="58">
        <v>5</v>
      </c>
      <c r="B44" s="75" t="s">
        <v>308</v>
      </c>
      <c r="C44" s="244">
        <f t="shared" si="1"/>
        <v>1423</v>
      </c>
      <c r="D44" s="244">
        <f t="shared" si="1"/>
        <v>941</v>
      </c>
      <c r="E44" s="244">
        <f t="shared" si="1"/>
        <v>2364</v>
      </c>
      <c r="F44" s="244">
        <f t="shared" si="1"/>
        <v>20470</v>
      </c>
      <c r="G44" s="244">
        <f t="shared" si="1"/>
        <v>14122</v>
      </c>
      <c r="H44" s="244">
        <f t="shared" si="1"/>
        <v>34592</v>
      </c>
    </row>
    <row r="45" spans="1:8" ht="47.25" customHeight="1">
      <c r="A45" s="440" t="s">
        <v>422</v>
      </c>
      <c r="B45" s="440"/>
      <c r="C45" s="445" t="s">
        <v>421</v>
      </c>
      <c r="D45" s="446"/>
      <c r="E45" s="446"/>
      <c r="F45" s="446"/>
      <c r="G45" s="446"/>
      <c r="H45" s="447"/>
    </row>
    <row r="48" spans="1:2" ht="14.25" customHeight="1">
      <c r="A48" s="432" t="s">
        <v>309</v>
      </c>
      <c r="B48" s="432"/>
    </row>
    <row r="49" spans="1:4" ht="15.75" customHeight="1">
      <c r="A49" s="432" t="s">
        <v>310</v>
      </c>
      <c r="B49" s="432"/>
      <c r="C49" s="432"/>
      <c r="D49" s="432"/>
    </row>
  </sheetData>
  <sheetProtection selectLockedCells="1" selectUnlockedCells="1"/>
  <mergeCells count="23">
    <mergeCell ref="A1:H1"/>
    <mergeCell ref="C3:H3"/>
    <mergeCell ref="C18:E18"/>
    <mergeCell ref="F18:H18"/>
    <mergeCell ref="C5:H5"/>
    <mergeCell ref="B18:B19"/>
    <mergeCell ref="A11:H11"/>
    <mergeCell ref="A49:D49"/>
    <mergeCell ref="C7:H7"/>
    <mergeCell ref="C45:H45"/>
    <mergeCell ref="A16:H16"/>
    <mergeCell ref="A45:B45"/>
    <mergeCell ref="A27:H27"/>
    <mergeCell ref="A14:H14"/>
    <mergeCell ref="A21:H21"/>
    <mergeCell ref="A33:H33"/>
    <mergeCell ref="A39:H39"/>
    <mergeCell ref="A15:H15"/>
    <mergeCell ref="A48:B48"/>
    <mergeCell ref="A18:A19"/>
    <mergeCell ref="A9:H9"/>
    <mergeCell ref="A12:H12"/>
    <mergeCell ref="A10:H10"/>
  </mergeCells>
  <printOptions/>
  <pageMargins left="0.75" right="0.75" top="1" bottom="1" header="0.5" footer="0.5"/>
  <pageSetup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dimension ref="A1:K51"/>
  <sheetViews>
    <sheetView view="pageBreakPreview" zoomScaleSheetLayoutView="100" zoomScalePageLayoutView="0" workbookViewId="0" topLeftCell="A10">
      <selection activeCell="D19" sqref="D19"/>
    </sheetView>
  </sheetViews>
  <sheetFormatPr defaultColWidth="9.140625" defaultRowHeight="12.75"/>
  <cols>
    <col min="1" max="1" width="6.7109375" style="25" customWidth="1"/>
    <col min="2" max="2" width="27.7109375" style="25" customWidth="1"/>
    <col min="3" max="4" width="28.28125" style="25" customWidth="1"/>
    <col min="5" max="8" width="8.7109375" style="25" customWidth="1"/>
    <col min="9" max="16384" width="9.140625" style="25" customWidth="1"/>
  </cols>
  <sheetData>
    <row r="1" spans="1:4" s="3" customFormat="1" ht="30" customHeight="1">
      <c r="A1" s="467" t="s">
        <v>65</v>
      </c>
      <c r="B1" s="467"/>
      <c r="C1" s="467"/>
      <c r="D1" s="467"/>
    </row>
    <row r="2" spans="1:4" s="5" customFormat="1" ht="11.25" customHeight="1">
      <c r="A2" s="3"/>
      <c r="B2" s="3"/>
      <c r="C2" s="28"/>
      <c r="D2" s="29"/>
    </row>
    <row r="3" spans="1:4" s="30" customFormat="1" ht="114.75" customHeight="1">
      <c r="A3" s="468" t="s">
        <v>290</v>
      </c>
      <c r="B3" s="468"/>
      <c r="C3" s="469" t="s">
        <v>407</v>
      </c>
      <c r="D3" s="470"/>
    </row>
    <row r="4" spans="1:2" s="5" customFormat="1" ht="14.25">
      <c r="A4" s="6"/>
      <c r="B4" s="6"/>
    </row>
    <row r="5" spans="1:4" s="5" customFormat="1" ht="14.25">
      <c r="A5" s="471" t="s">
        <v>306</v>
      </c>
      <c r="B5" s="471"/>
      <c r="C5" s="472" t="s">
        <v>408</v>
      </c>
      <c r="D5" s="473"/>
    </row>
    <row r="6" spans="1:2" s="5" customFormat="1" ht="14.25">
      <c r="A6" s="6"/>
      <c r="B6" s="6"/>
    </row>
    <row r="7" spans="1:4" s="5" customFormat="1" ht="13.5" customHeight="1">
      <c r="A7" s="455" t="s">
        <v>307</v>
      </c>
      <c r="B7" s="455"/>
      <c r="C7" s="456" t="s">
        <v>427</v>
      </c>
      <c r="D7" s="457"/>
    </row>
    <row r="8" spans="1:2" s="5" customFormat="1" ht="11.25" customHeight="1">
      <c r="A8" s="6"/>
      <c r="B8" s="6"/>
    </row>
    <row r="9" spans="1:4" s="5" customFormat="1" ht="42.75" customHeight="1">
      <c r="A9" s="459" t="s">
        <v>14</v>
      </c>
      <c r="B9" s="459"/>
      <c r="C9" s="459"/>
      <c r="D9" s="459"/>
    </row>
    <row r="10" spans="1:4" s="5" customFormat="1" ht="39" customHeight="1">
      <c r="A10" s="459" t="s">
        <v>298</v>
      </c>
      <c r="B10" s="459"/>
      <c r="C10" s="459"/>
      <c r="D10" s="459"/>
    </row>
    <row r="11" spans="1:2" s="5" customFormat="1" ht="14.25">
      <c r="A11" s="6"/>
      <c r="B11" s="6"/>
    </row>
    <row r="12" spans="1:4" s="7" customFormat="1" ht="14.25" customHeight="1">
      <c r="A12" s="466" t="s">
        <v>305</v>
      </c>
      <c r="B12" s="466"/>
      <c r="C12" s="466"/>
      <c r="D12" s="466"/>
    </row>
    <row r="13" spans="1:11" s="7" customFormat="1" ht="13.5" customHeight="1">
      <c r="A13" s="435" t="s">
        <v>317</v>
      </c>
      <c r="B13" s="435"/>
      <c r="C13" s="435"/>
      <c r="D13" s="435"/>
      <c r="K13" s="32"/>
    </row>
    <row r="14" spans="1:3" s="7" customFormat="1" ht="12" customHeight="1" thickBot="1">
      <c r="A14" s="33"/>
      <c r="B14" s="34"/>
      <c r="C14" s="34"/>
    </row>
    <row r="15" spans="1:4" s="3" customFormat="1" ht="20.25" customHeight="1">
      <c r="A15" s="461" t="s">
        <v>321</v>
      </c>
      <c r="B15" s="463" t="s">
        <v>213</v>
      </c>
      <c r="C15" s="463" t="s">
        <v>220</v>
      </c>
      <c r="D15" s="474"/>
    </row>
    <row r="16" spans="1:4" s="36" customFormat="1" ht="18.75" customHeight="1">
      <c r="A16" s="462"/>
      <c r="B16" s="451"/>
      <c r="C16" s="26" t="s">
        <v>319</v>
      </c>
      <c r="D16" s="35" t="s">
        <v>320</v>
      </c>
    </row>
    <row r="17" spans="1:4" s="3" customFormat="1" ht="15.75" customHeight="1">
      <c r="A17" s="251">
        <v>1</v>
      </c>
      <c r="B17" s="252">
        <v>2</v>
      </c>
      <c r="C17" s="252">
        <v>3</v>
      </c>
      <c r="D17" s="253">
        <v>4</v>
      </c>
    </row>
    <row r="18" spans="1:4" s="3" customFormat="1" ht="12" customHeight="1">
      <c r="A18" s="460" t="s">
        <v>266</v>
      </c>
      <c r="B18" s="460"/>
      <c r="C18" s="460"/>
      <c r="D18" s="460"/>
    </row>
    <row r="19" spans="1:4" s="3" customFormat="1" ht="27" customHeight="1">
      <c r="A19" s="37">
        <v>1</v>
      </c>
      <c r="B19" s="38" t="s">
        <v>299</v>
      </c>
      <c r="C19" s="254">
        <f>433-415</f>
        <v>18</v>
      </c>
      <c r="D19" s="254">
        <v>433</v>
      </c>
    </row>
    <row r="20" spans="1:4" s="3" customFormat="1" ht="27.75" customHeight="1">
      <c r="A20" s="39">
        <v>2</v>
      </c>
      <c r="B20" s="40" t="s">
        <v>223</v>
      </c>
      <c r="C20" s="255">
        <f>103-99</f>
        <v>4</v>
      </c>
      <c r="D20" s="255">
        <v>103</v>
      </c>
    </row>
    <row r="21" spans="1:4" s="3" customFormat="1" ht="27.75" customHeight="1">
      <c r="A21" s="39">
        <v>3</v>
      </c>
      <c r="B21" s="40" t="s">
        <v>224</v>
      </c>
      <c r="C21" s="255">
        <f>37-33</f>
        <v>4</v>
      </c>
      <c r="D21" s="255">
        <v>37</v>
      </c>
    </row>
    <row r="22" spans="1:4" s="3" customFormat="1" ht="27" customHeight="1">
      <c r="A22" s="39">
        <v>4</v>
      </c>
      <c r="B22" s="40" t="s">
        <v>331</v>
      </c>
      <c r="C22" s="255">
        <v>0</v>
      </c>
      <c r="D22" s="255">
        <v>8</v>
      </c>
    </row>
    <row r="23" spans="1:4" s="3" customFormat="1" ht="27" customHeight="1">
      <c r="A23" s="39">
        <v>5</v>
      </c>
      <c r="B23" s="41" t="s">
        <v>308</v>
      </c>
      <c r="C23" s="26">
        <f>SUM(C19:C22)</f>
        <v>26</v>
      </c>
      <c r="D23" s="26">
        <f>SUM(D19:D22)</f>
        <v>581</v>
      </c>
    </row>
    <row r="24" spans="1:4" s="3" customFormat="1" ht="14.25" customHeight="1">
      <c r="A24" s="460" t="s">
        <v>276</v>
      </c>
      <c r="B24" s="460"/>
      <c r="C24" s="460"/>
      <c r="D24" s="460"/>
    </row>
    <row r="25" spans="1:4" s="3" customFormat="1" ht="27" customHeight="1">
      <c r="A25" s="37">
        <v>1</v>
      </c>
      <c r="B25" s="38" t="s">
        <v>299</v>
      </c>
      <c r="C25" s="254">
        <v>0</v>
      </c>
      <c r="D25" s="254">
        <v>0</v>
      </c>
    </row>
    <row r="26" spans="1:4" s="3" customFormat="1" ht="27.75" customHeight="1">
      <c r="A26" s="39">
        <v>2</v>
      </c>
      <c r="B26" s="40" t="s">
        <v>223</v>
      </c>
      <c r="C26" s="254">
        <v>0</v>
      </c>
      <c r="D26" s="254">
        <v>0</v>
      </c>
    </row>
    <row r="27" spans="1:4" s="3" customFormat="1" ht="27.75" customHeight="1">
      <c r="A27" s="39">
        <v>3</v>
      </c>
      <c r="B27" s="40" t="s">
        <v>224</v>
      </c>
      <c r="C27" s="254">
        <v>0</v>
      </c>
      <c r="D27" s="254">
        <v>0</v>
      </c>
    </row>
    <row r="28" spans="1:4" s="3" customFormat="1" ht="27" customHeight="1">
      <c r="A28" s="39">
        <v>4</v>
      </c>
      <c r="B28" s="40" t="s">
        <v>331</v>
      </c>
      <c r="C28" s="254">
        <v>0</v>
      </c>
      <c r="D28" s="254">
        <v>0</v>
      </c>
    </row>
    <row r="29" spans="1:4" s="3" customFormat="1" ht="27" customHeight="1">
      <c r="A29" s="39">
        <v>5</v>
      </c>
      <c r="B29" s="41" t="s">
        <v>308</v>
      </c>
      <c r="C29" s="254">
        <v>0</v>
      </c>
      <c r="D29" s="26">
        <f>SUM(D25:D28)</f>
        <v>0</v>
      </c>
    </row>
    <row r="30" spans="1:4" s="3" customFormat="1" ht="14.25" customHeight="1">
      <c r="A30" s="460" t="s">
        <v>278</v>
      </c>
      <c r="B30" s="460"/>
      <c r="C30" s="460"/>
      <c r="D30" s="460"/>
    </row>
    <row r="31" spans="1:4" s="3" customFormat="1" ht="27" customHeight="1">
      <c r="A31" s="37">
        <v>1</v>
      </c>
      <c r="B31" s="38" t="s">
        <v>299</v>
      </c>
      <c r="C31" s="254">
        <v>0</v>
      </c>
      <c r="D31" s="254">
        <v>0</v>
      </c>
    </row>
    <row r="32" spans="1:4" s="3" customFormat="1" ht="27.75" customHeight="1">
      <c r="A32" s="39">
        <v>2</v>
      </c>
      <c r="B32" s="40" t="s">
        <v>223</v>
      </c>
      <c r="C32" s="254">
        <v>0</v>
      </c>
      <c r="D32" s="254">
        <v>0</v>
      </c>
    </row>
    <row r="33" spans="1:4" s="3" customFormat="1" ht="27.75" customHeight="1">
      <c r="A33" s="39">
        <v>3</v>
      </c>
      <c r="B33" s="40" t="s">
        <v>224</v>
      </c>
      <c r="C33" s="254">
        <v>0</v>
      </c>
      <c r="D33" s="254">
        <v>0</v>
      </c>
    </row>
    <row r="34" spans="1:4" s="3" customFormat="1" ht="27" customHeight="1">
      <c r="A34" s="39">
        <v>4</v>
      </c>
      <c r="B34" s="40" t="s">
        <v>331</v>
      </c>
      <c r="C34" s="254">
        <v>0</v>
      </c>
      <c r="D34" s="254">
        <v>0</v>
      </c>
    </row>
    <row r="35" spans="1:4" s="3" customFormat="1" ht="27" customHeight="1">
      <c r="A35" s="39">
        <v>5</v>
      </c>
      <c r="B35" s="41" t="s">
        <v>308</v>
      </c>
      <c r="C35" s="254">
        <v>0</v>
      </c>
      <c r="D35" s="26">
        <f>SUM(D31:D34)</f>
        <v>0</v>
      </c>
    </row>
    <row r="36" spans="1:4" s="3" customFormat="1" ht="11.25" customHeight="1">
      <c r="A36" s="460" t="s">
        <v>415</v>
      </c>
      <c r="B36" s="460"/>
      <c r="C36" s="460"/>
      <c r="D36" s="460"/>
    </row>
    <row r="37" spans="1:4" s="3" customFormat="1" ht="27" customHeight="1">
      <c r="A37" s="37">
        <v>1</v>
      </c>
      <c r="B37" s="38" t="s">
        <v>299</v>
      </c>
      <c r="C37" s="254">
        <f aca="true" t="shared" si="0" ref="C37:D40">C19</f>
        <v>18</v>
      </c>
      <c r="D37" s="254">
        <f t="shared" si="0"/>
        <v>433</v>
      </c>
    </row>
    <row r="38" spans="1:4" s="3" customFormat="1" ht="27.75" customHeight="1">
      <c r="A38" s="39">
        <v>2</v>
      </c>
      <c r="B38" s="40" t="s">
        <v>223</v>
      </c>
      <c r="C38" s="254">
        <f t="shared" si="0"/>
        <v>4</v>
      </c>
      <c r="D38" s="254">
        <f t="shared" si="0"/>
        <v>103</v>
      </c>
    </row>
    <row r="39" spans="1:4" s="3" customFormat="1" ht="27.75" customHeight="1">
      <c r="A39" s="39">
        <v>3</v>
      </c>
      <c r="B39" s="40" t="s">
        <v>224</v>
      </c>
      <c r="C39" s="254">
        <f t="shared" si="0"/>
        <v>4</v>
      </c>
      <c r="D39" s="254">
        <f t="shared" si="0"/>
        <v>37</v>
      </c>
    </row>
    <row r="40" spans="1:4" s="3" customFormat="1" ht="27" customHeight="1">
      <c r="A40" s="39">
        <v>4</v>
      </c>
      <c r="B40" s="40" t="s">
        <v>331</v>
      </c>
      <c r="C40" s="254">
        <f t="shared" si="0"/>
        <v>0</v>
      </c>
      <c r="D40" s="254">
        <f t="shared" si="0"/>
        <v>8</v>
      </c>
    </row>
    <row r="41" spans="1:4" s="3" customFormat="1" ht="27" customHeight="1">
      <c r="A41" s="39">
        <v>5</v>
      </c>
      <c r="B41" s="41" t="s">
        <v>308</v>
      </c>
      <c r="C41" s="256">
        <f>C23</f>
        <v>26</v>
      </c>
      <c r="D41" s="26">
        <f>SUM(D37:D40)</f>
        <v>581</v>
      </c>
    </row>
    <row r="42" spans="1:4" s="3" customFormat="1" ht="27" customHeight="1">
      <c r="A42" s="451" t="s">
        <v>314</v>
      </c>
      <c r="B42" s="451"/>
      <c r="C42" s="458"/>
      <c r="D42" s="458"/>
    </row>
    <row r="43" spans="1:4" s="3" customFormat="1" ht="15" customHeight="1">
      <c r="A43" s="42"/>
      <c r="B43" s="42"/>
      <c r="C43" s="43"/>
      <c r="D43" s="43"/>
    </row>
    <row r="44" spans="1:4" s="3" customFormat="1" ht="15" customHeight="1">
      <c r="A44" s="453" t="s">
        <v>42</v>
      </c>
      <c r="B44" s="453"/>
      <c r="C44" s="453"/>
      <c r="D44" s="453"/>
    </row>
    <row r="45" spans="1:4" s="45" customFormat="1" ht="112.5" customHeight="1">
      <c r="A45" s="464" t="s">
        <v>146</v>
      </c>
      <c r="B45" s="465"/>
      <c r="C45" s="465"/>
      <c r="D45" s="465"/>
    </row>
    <row r="46" spans="1:4" ht="176.25" customHeight="1">
      <c r="A46" s="464" t="s">
        <v>43</v>
      </c>
      <c r="B46" s="464"/>
      <c r="C46" s="464"/>
      <c r="D46" s="464"/>
    </row>
    <row r="47" spans="1:4" ht="42" customHeight="1">
      <c r="A47" s="452" t="s">
        <v>235</v>
      </c>
      <c r="B47" s="452"/>
      <c r="C47" s="452"/>
      <c r="D47" s="452"/>
    </row>
    <row r="48" spans="1:4" ht="36" customHeight="1">
      <c r="A48" s="452" t="s">
        <v>4</v>
      </c>
      <c r="B48" s="452"/>
      <c r="C48" s="452"/>
      <c r="D48" s="452"/>
    </row>
    <row r="49" spans="1:4" ht="12.75">
      <c r="A49" s="44"/>
      <c r="B49" s="44"/>
      <c r="C49" s="44"/>
      <c r="D49" s="44"/>
    </row>
    <row r="50" spans="1:2" ht="15.75" customHeight="1">
      <c r="A50" s="454" t="s">
        <v>309</v>
      </c>
      <c r="B50" s="454"/>
    </row>
    <row r="51" spans="1:2" ht="15.75" customHeight="1">
      <c r="A51" s="454" t="s">
        <v>310</v>
      </c>
      <c r="B51" s="454"/>
    </row>
  </sheetData>
  <sheetProtection selectLockedCells="1" selectUnlockedCells="1"/>
  <mergeCells count="27">
    <mergeCell ref="A1:D1"/>
    <mergeCell ref="A3:B3"/>
    <mergeCell ref="C3:D3"/>
    <mergeCell ref="A5:B5"/>
    <mergeCell ref="C5:D5"/>
    <mergeCell ref="A18:D18"/>
    <mergeCell ref="C15:D15"/>
    <mergeCell ref="A51:B51"/>
    <mergeCell ref="A15:A16"/>
    <mergeCell ref="B15:B16"/>
    <mergeCell ref="A45:D45"/>
    <mergeCell ref="A46:D46"/>
    <mergeCell ref="A10:D10"/>
    <mergeCell ref="A12:D12"/>
    <mergeCell ref="A13:D13"/>
    <mergeCell ref="A24:D24"/>
    <mergeCell ref="A30:D30"/>
    <mergeCell ref="A42:B42"/>
    <mergeCell ref="A48:D48"/>
    <mergeCell ref="A44:D44"/>
    <mergeCell ref="A50:B50"/>
    <mergeCell ref="A7:B7"/>
    <mergeCell ref="C7:D7"/>
    <mergeCell ref="A47:D47"/>
    <mergeCell ref="C42:D42"/>
    <mergeCell ref="A9:D9"/>
    <mergeCell ref="A36:D36"/>
  </mergeCells>
  <printOptions horizontalCentered="1"/>
  <pageMargins left="0.7875" right="0.7875" top="0.7875000000000001" bottom="0.7875" header="0.5118055555555556" footer="0.5118055555555556"/>
  <pageSetup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dimension ref="A1:N51"/>
  <sheetViews>
    <sheetView view="pageBreakPreview" zoomScaleSheetLayoutView="100" zoomScalePageLayoutView="0" workbookViewId="0" topLeftCell="B33">
      <selection activeCell="E54" sqref="E54"/>
    </sheetView>
  </sheetViews>
  <sheetFormatPr defaultColWidth="9.140625" defaultRowHeight="12.75"/>
  <cols>
    <col min="1" max="1" width="25.28125" style="3" customWidth="1"/>
    <col min="2" max="2" width="27.00390625" style="3" customWidth="1"/>
    <col min="3" max="6" width="18.8515625" style="3" customWidth="1"/>
    <col min="7" max="9" width="19.140625" style="3" customWidth="1"/>
    <col min="10" max="10" width="14.28125" style="3" customWidth="1"/>
    <col min="11" max="11" width="10.00390625" style="3" customWidth="1"/>
    <col min="12" max="12" width="13.00390625" style="3" customWidth="1"/>
    <col min="13" max="13" width="10.00390625" style="3" bestFit="1" customWidth="1"/>
    <col min="14" max="14" width="14.00390625" style="3" customWidth="1"/>
    <col min="15" max="15" width="10.00390625" style="3" bestFit="1" customWidth="1"/>
    <col min="16" max="16384" width="9.140625" style="3" customWidth="1"/>
  </cols>
  <sheetData>
    <row r="1" spans="1:9" ht="21.75" customHeight="1">
      <c r="A1" s="482" t="s">
        <v>358</v>
      </c>
      <c r="B1" s="482"/>
      <c r="C1" s="482"/>
      <c r="D1" s="482"/>
      <c r="E1" s="482"/>
      <c r="F1" s="482"/>
      <c r="G1" s="482"/>
      <c r="H1" s="482"/>
      <c r="I1" s="482"/>
    </row>
    <row r="3" spans="1:9" ht="60" customHeight="1">
      <c r="A3" s="149" t="s">
        <v>290</v>
      </c>
      <c r="B3" s="489" t="s">
        <v>407</v>
      </c>
      <c r="C3" s="489"/>
      <c r="D3" s="489"/>
      <c r="E3" s="489"/>
      <c r="F3" s="489"/>
      <c r="G3" s="489"/>
      <c r="H3" s="489"/>
      <c r="I3" s="489"/>
    </row>
    <row r="5" spans="1:9" s="5" customFormat="1" ht="14.25">
      <c r="A5" s="4" t="s">
        <v>306</v>
      </c>
      <c r="B5" s="483" t="s">
        <v>408</v>
      </c>
      <c r="C5" s="484"/>
      <c r="D5" s="484"/>
      <c r="E5" s="484"/>
      <c r="F5" s="484"/>
      <c r="G5" s="484"/>
      <c r="H5" s="484"/>
      <c r="I5" s="484"/>
    </row>
    <row r="6" s="5" customFormat="1" ht="14.25">
      <c r="A6" s="6"/>
    </row>
    <row r="7" spans="1:9" s="5" customFormat="1" ht="14.25">
      <c r="A7" s="4" t="s">
        <v>307</v>
      </c>
      <c r="B7" s="483" t="s">
        <v>427</v>
      </c>
      <c r="C7" s="484"/>
      <c r="D7" s="484"/>
      <c r="E7" s="484"/>
      <c r="F7" s="484"/>
      <c r="G7" s="484"/>
      <c r="H7" s="484"/>
      <c r="I7" s="484"/>
    </row>
    <row r="9" spans="1:9" s="7" customFormat="1" ht="65.25" customHeight="1">
      <c r="A9" s="485" t="s">
        <v>236</v>
      </c>
      <c r="B9" s="486"/>
      <c r="C9" s="486"/>
      <c r="D9" s="486"/>
      <c r="E9" s="486"/>
      <c r="F9" s="486"/>
      <c r="G9" s="486"/>
      <c r="H9" s="486"/>
      <c r="I9" s="486"/>
    </row>
    <row r="10" spans="1:9" s="7" customFormat="1" ht="52.5" customHeight="1">
      <c r="A10" s="487" t="s">
        <v>5</v>
      </c>
      <c r="B10" s="488"/>
      <c r="C10" s="488"/>
      <c r="D10" s="488"/>
      <c r="E10" s="488"/>
      <c r="F10" s="488"/>
      <c r="G10" s="488"/>
      <c r="H10" s="488"/>
      <c r="I10" s="488"/>
    </row>
    <row r="11" spans="1:9" ht="12.75">
      <c r="A11" s="8"/>
      <c r="B11" s="9"/>
      <c r="C11" s="9"/>
      <c r="D11" s="9"/>
      <c r="E11" s="9"/>
      <c r="F11" s="9"/>
      <c r="G11" s="9"/>
      <c r="H11" s="9"/>
      <c r="I11" s="9"/>
    </row>
    <row r="12" spans="1:9" ht="32.25" customHeight="1">
      <c r="A12" s="427" t="s">
        <v>163</v>
      </c>
      <c r="B12" s="427"/>
      <c r="C12" s="427"/>
      <c r="D12" s="427"/>
      <c r="E12" s="427"/>
      <c r="F12" s="427"/>
      <c r="G12" s="427"/>
      <c r="H12" s="427"/>
      <c r="I12" s="427"/>
    </row>
    <row r="13" spans="1:9" ht="15">
      <c r="A13" s="10"/>
      <c r="B13" s="10"/>
      <c r="C13" s="10"/>
      <c r="D13" s="10"/>
      <c r="E13" s="10"/>
      <c r="F13" s="10"/>
      <c r="G13" s="10"/>
      <c r="H13" s="10"/>
      <c r="I13" s="10"/>
    </row>
    <row r="14" spans="1:14" s="13" customFormat="1" ht="201" customHeight="1">
      <c r="A14" s="480" t="s">
        <v>3</v>
      </c>
      <c r="B14" s="481"/>
      <c r="C14" s="481"/>
      <c r="D14" s="481"/>
      <c r="E14" s="481"/>
      <c r="F14" s="481"/>
      <c r="G14" s="481"/>
      <c r="H14" s="481"/>
      <c r="I14" s="481"/>
      <c r="J14" s="1"/>
      <c r="K14" s="1"/>
      <c r="L14" s="1"/>
      <c r="M14" s="1"/>
      <c r="N14" s="1"/>
    </row>
    <row r="15" spans="1:14" s="13" customFormat="1" ht="12.75">
      <c r="A15" s="481" t="s">
        <v>233</v>
      </c>
      <c r="B15" s="481"/>
      <c r="C15" s="481"/>
      <c r="D15" s="481"/>
      <c r="E15" s="481"/>
      <c r="F15" s="481"/>
      <c r="G15" s="481"/>
      <c r="H15" s="481"/>
      <c r="I15" s="481"/>
      <c r="J15" s="1"/>
      <c r="K15" s="1"/>
      <c r="L15" s="1"/>
      <c r="M15" s="1"/>
      <c r="N15" s="1"/>
    </row>
    <row r="16" spans="1:14" s="13" customFormat="1" ht="27" customHeight="1">
      <c r="A16" s="475" t="s">
        <v>2</v>
      </c>
      <c r="B16" s="475"/>
      <c r="C16" s="475"/>
      <c r="D16" s="475"/>
      <c r="E16" s="475"/>
      <c r="F16" s="475"/>
      <c r="G16" s="475"/>
      <c r="H16" s="475"/>
      <c r="I16" s="475"/>
      <c r="J16" s="1"/>
      <c r="K16" s="1"/>
      <c r="L16" s="1"/>
      <c r="M16" s="1"/>
      <c r="N16" s="1"/>
    </row>
    <row r="17" spans="1:14" s="13" customFormat="1" ht="12.75">
      <c r="A17" s="11"/>
      <c r="B17" s="12"/>
      <c r="C17" s="12"/>
      <c r="D17" s="12"/>
      <c r="E17" s="12"/>
      <c r="F17" s="12"/>
      <c r="G17" s="12"/>
      <c r="H17" s="12"/>
      <c r="I17" s="12"/>
      <c r="J17" s="1"/>
      <c r="K17" s="1"/>
      <c r="L17" s="1"/>
      <c r="M17" s="1"/>
      <c r="N17" s="1"/>
    </row>
    <row r="18" spans="1:8" s="1" customFormat="1" ht="68.25" customHeight="1">
      <c r="A18" s="450" t="s">
        <v>234</v>
      </c>
      <c r="B18" s="450" t="s">
        <v>237</v>
      </c>
      <c r="C18" s="450" t="s">
        <v>6</v>
      </c>
      <c r="D18" s="450"/>
      <c r="E18" s="450" t="s">
        <v>7</v>
      </c>
      <c r="F18" s="450"/>
      <c r="G18" s="450" t="s">
        <v>8</v>
      </c>
      <c r="H18" s="15"/>
    </row>
    <row r="19" spans="1:8" s="1" customFormat="1" ht="51" customHeight="1">
      <c r="A19" s="450"/>
      <c r="B19" s="450"/>
      <c r="C19" s="450" t="s">
        <v>238</v>
      </c>
      <c r="D19" s="450" t="s">
        <v>239</v>
      </c>
      <c r="E19" s="450" t="s">
        <v>238</v>
      </c>
      <c r="F19" s="450" t="s">
        <v>239</v>
      </c>
      <c r="G19" s="450"/>
      <c r="H19" s="15"/>
    </row>
    <row r="20" spans="1:8" s="1" customFormat="1" ht="18" customHeight="1">
      <c r="A20" s="450"/>
      <c r="B20" s="450"/>
      <c r="C20" s="450"/>
      <c r="D20" s="450"/>
      <c r="E20" s="450"/>
      <c r="F20" s="450"/>
      <c r="G20" s="450"/>
      <c r="H20" s="16"/>
    </row>
    <row r="21" spans="1:8" s="2" customFormat="1" ht="12.75">
      <c r="A21" s="17">
        <v>1</v>
      </c>
      <c r="B21" s="17">
        <v>2</v>
      </c>
      <c r="C21" s="17">
        <v>3</v>
      </c>
      <c r="D21" s="17">
        <v>4</v>
      </c>
      <c r="E21" s="17">
        <v>5</v>
      </c>
      <c r="F21" s="17">
        <v>6</v>
      </c>
      <c r="G21" s="17">
        <v>7</v>
      </c>
      <c r="H21" s="18"/>
    </row>
    <row r="22" spans="1:8" ht="275.25" customHeight="1">
      <c r="A22" s="257" t="s">
        <v>266</v>
      </c>
      <c r="B22" s="258" t="s">
        <v>423</v>
      </c>
      <c r="C22" s="260">
        <v>12</v>
      </c>
      <c r="D22" s="260">
        <v>12</v>
      </c>
      <c r="E22" s="261">
        <v>241489623.53</v>
      </c>
      <c r="F22" s="261">
        <v>174052970.8</v>
      </c>
      <c r="G22" s="261">
        <v>79929779.93</v>
      </c>
      <c r="H22" s="19"/>
    </row>
    <row r="23" spans="1:8" ht="134.25" customHeight="1">
      <c r="A23" s="257" t="s">
        <v>276</v>
      </c>
      <c r="B23" s="258" t="s">
        <v>417</v>
      </c>
      <c r="C23" s="260">
        <v>23</v>
      </c>
      <c r="D23" s="260">
        <v>23</v>
      </c>
      <c r="E23" s="261">
        <v>40192248.629999995</v>
      </c>
      <c r="F23" s="261">
        <v>39336021.47</v>
      </c>
      <c r="G23" s="261">
        <v>28785192.23</v>
      </c>
      <c r="H23" s="19"/>
    </row>
    <row r="24" spans="1:8" ht="12.75">
      <c r="A24" s="257" t="s">
        <v>278</v>
      </c>
      <c r="B24" s="258" t="s">
        <v>416</v>
      </c>
      <c r="C24" s="259"/>
      <c r="D24" s="259"/>
      <c r="E24" s="259"/>
      <c r="F24" s="259"/>
      <c r="G24" s="259"/>
      <c r="H24" s="19"/>
    </row>
    <row r="25" spans="1:8" ht="12.75">
      <c r="A25" s="27" t="s">
        <v>314</v>
      </c>
      <c r="B25" s="476"/>
      <c r="C25" s="477"/>
      <c r="D25" s="477"/>
      <c r="E25" s="477"/>
      <c r="F25" s="477"/>
      <c r="G25" s="478"/>
      <c r="H25" s="19"/>
    </row>
    <row r="26" spans="1:8" ht="12.75">
      <c r="A26" s="479"/>
      <c r="B26" s="479"/>
      <c r="C26" s="479"/>
      <c r="D26" s="479"/>
      <c r="E26" s="479"/>
      <c r="F26" s="479"/>
      <c r="G26" s="479"/>
      <c r="H26" s="19"/>
    </row>
    <row r="28" spans="1:9" ht="28.5" customHeight="1">
      <c r="A28" s="427" t="s">
        <v>164</v>
      </c>
      <c r="B28" s="427"/>
      <c r="C28" s="427"/>
      <c r="D28" s="427"/>
      <c r="E28" s="427"/>
      <c r="F28" s="427"/>
      <c r="G28" s="427"/>
      <c r="H28" s="427"/>
      <c r="I28" s="427"/>
    </row>
    <row r="29" spans="1:9" ht="15">
      <c r="A29" s="10"/>
      <c r="B29" s="10"/>
      <c r="C29" s="10"/>
      <c r="D29" s="10"/>
      <c r="E29" s="10"/>
      <c r="F29" s="10"/>
      <c r="G29" s="10"/>
      <c r="H29" s="10"/>
      <c r="I29" s="10"/>
    </row>
    <row r="30" spans="1:9" s="7" customFormat="1" ht="55.5" customHeight="1">
      <c r="A30" s="480" t="s">
        <v>9</v>
      </c>
      <c r="B30" s="481"/>
      <c r="C30" s="481"/>
      <c r="D30" s="481"/>
      <c r="E30" s="481"/>
      <c r="F30" s="481"/>
      <c r="G30" s="481"/>
      <c r="H30" s="481"/>
      <c r="I30" s="481"/>
    </row>
    <row r="31" spans="1:9" s="7" customFormat="1" ht="199.5" customHeight="1">
      <c r="A31" s="493" t="s">
        <v>1</v>
      </c>
      <c r="B31" s="494"/>
      <c r="C31" s="494"/>
      <c r="D31" s="494"/>
      <c r="E31" s="494"/>
      <c r="F31" s="494"/>
      <c r="G31" s="494"/>
      <c r="H31" s="494"/>
      <c r="I31" s="494"/>
    </row>
    <row r="32" spans="1:9" s="7" customFormat="1" ht="12.75">
      <c r="A32" s="475" t="s">
        <v>233</v>
      </c>
      <c r="B32" s="475"/>
      <c r="C32" s="475"/>
      <c r="D32" s="475"/>
      <c r="E32" s="475"/>
      <c r="F32" s="475"/>
      <c r="G32" s="475"/>
      <c r="H32" s="475"/>
      <c r="I32" s="475"/>
    </row>
    <row r="33" spans="1:9" s="7" customFormat="1" ht="27" customHeight="1">
      <c r="A33" s="475" t="s">
        <v>2</v>
      </c>
      <c r="B33" s="475"/>
      <c r="C33" s="475"/>
      <c r="D33" s="475"/>
      <c r="E33" s="475"/>
      <c r="F33" s="475"/>
      <c r="G33" s="475"/>
      <c r="H33" s="475"/>
      <c r="I33" s="475"/>
    </row>
    <row r="34" spans="1:6" s="7" customFormat="1" ht="12.75">
      <c r="A34" s="20"/>
      <c r="B34" s="20"/>
      <c r="C34" s="20"/>
      <c r="D34" s="21"/>
      <c r="E34" s="21"/>
      <c r="F34" s="21"/>
    </row>
    <row r="35" spans="1:9" ht="24.75" customHeight="1">
      <c r="A35" s="450" t="s">
        <v>234</v>
      </c>
      <c r="B35" s="450" t="s">
        <v>10</v>
      </c>
      <c r="C35" s="450"/>
      <c r="D35" s="450" t="s">
        <v>11</v>
      </c>
      <c r="E35" s="450"/>
      <c r="F35" s="450" t="s">
        <v>12</v>
      </c>
      <c r="G35" s="450"/>
      <c r="H35" s="450"/>
      <c r="I35" s="450"/>
    </row>
    <row r="36" spans="1:9" ht="27" customHeight="1">
      <c r="A36" s="450"/>
      <c r="B36" s="450"/>
      <c r="C36" s="450"/>
      <c r="D36" s="450"/>
      <c r="E36" s="450"/>
      <c r="F36" s="450" t="s">
        <v>240</v>
      </c>
      <c r="G36" s="450" t="s">
        <v>241</v>
      </c>
      <c r="H36" s="450"/>
      <c r="I36" s="450"/>
    </row>
    <row r="37" spans="1:9" ht="33.75" customHeight="1">
      <c r="A37" s="450"/>
      <c r="B37" s="450" t="s">
        <v>238</v>
      </c>
      <c r="C37" s="450" t="s">
        <v>239</v>
      </c>
      <c r="D37" s="450" t="s">
        <v>238</v>
      </c>
      <c r="E37" s="450" t="s">
        <v>239</v>
      </c>
      <c r="F37" s="450"/>
      <c r="G37" s="14" t="s">
        <v>202</v>
      </c>
      <c r="H37" s="14" t="s">
        <v>242</v>
      </c>
      <c r="I37" s="14" t="s">
        <v>243</v>
      </c>
    </row>
    <row r="38" spans="1:9" ht="35.25" customHeight="1">
      <c r="A38" s="450"/>
      <c r="B38" s="450"/>
      <c r="C38" s="450"/>
      <c r="D38" s="450"/>
      <c r="E38" s="450"/>
      <c r="F38" s="450"/>
      <c r="G38" s="14" t="s">
        <v>244</v>
      </c>
      <c r="H38" s="14" t="s">
        <v>244</v>
      </c>
      <c r="I38" s="14" t="s">
        <v>244</v>
      </c>
    </row>
    <row r="39" spans="1:9" ht="14.25" customHeight="1">
      <c r="A39" s="17">
        <v>1</v>
      </c>
      <c r="B39" s="22">
        <v>2</v>
      </c>
      <c r="C39" s="22">
        <v>3</v>
      </c>
      <c r="D39" s="22">
        <v>4</v>
      </c>
      <c r="E39" s="22">
        <v>5</v>
      </c>
      <c r="F39" s="22" t="s">
        <v>230</v>
      </c>
      <c r="G39" s="22">
        <v>7</v>
      </c>
      <c r="H39" s="22">
        <v>8</v>
      </c>
      <c r="I39" s="22">
        <v>9</v>
      </c>
    </row>
    <row r="40" spans="1:9" ht="14.25" customHeight="1">
      <c r="A40" s="496" t="s">
        <v>13</v>
      </c>
      <c r="B40" s="496"/>
      <c r="C40" s="496"/>
      <c r="D40" s="496"/>
      <c r="E40" s="496"/>
      <c r="F40" s="496"/>
      <c r="G40" s="496"/>
      <c r="H40" s="496"/>
      <c r="I40" s="496"/>
    </row>
    <row r="41" spans="1:9" s="263" customFormat="1" ht="12.75">
      <c r="A41" s="262" t="s">
        <v>266</v>
      </c>
      <c r="B41" s="262">
        <v>0</v>
      </c>
      <c r="C41" s="262">
        <v>0</v>
      </c>
      <c r="D41" s="264">
        <v>0</v>
      </c>
      <c r="E41" s="264">
        <v>0</v>
      </c>
      <c r="F41" s="264">
        <v>0</v>
      </c>
      <c r="G41" s="264">
        <v>0</v>
      </c>
      <c r="H41" s="264">
        <v>0</v>
      </c>
      <c r="I41" s="264">
        <v>0</v>
      </c>
    </row>
    <row r="42" spans="1:9" s="263" customFormat="1" ht="12.75">
      <c r="A42" s="262" t="s">
        <v>276</v>
      </c>
      <c r="B42" s="262">
        <v>0</v>
      </c>
      <c r="C42" s="262">
        <v>0</v>
      </c>
      <c r="D42" s="264">
        <v>0</v>
      </c>
      <c r="E42" s="264">
        <v>0</v>
      </c>
      <c r="F42" s="264">
        <v>0</v>
      </c>
      <c r="G42" s="264">
        <v>0</v>
      </c>
      <c r="H42" s="264">
        <v>0</v>
      </c>
      <c r="I42" s="264">
        <v>0</v>
      </c>
    </row>
    <row r="43" spans="1:9" s="263" customFormat="1" ht="12.75">
      <c r="A43" s="262" t="s">
        <v>278</v>
      </c>
      <c r="B43" s="262">
        <v>0</v>
      </c>
      <c r="C43" s="262">
        <v>0</v>
      </c>
      <c r="D43" s="264">
        <v>0</v>
      </c>
      <c r="E43" s="264">
        <v>0</v>
      </c>
      <c r="F43" s="264">
        <v>0</v>
      </c>
      <c r="G43" s="264">
        <v>0</v>
      </c>
      <c r="H43" s="264">
        <v>0</v>
      </c>
      <c r="I43" s="264">
        <v>0</v>
      </c>
    </row>
    <row r="44" spans="1:9" s="263" customFormat="1" ht="12.75">
      <c r="A44" s="497" t="s">
        <v>418</v>
      </c>
      <c r="B44" s="497"/>
      <c r="C44" s="497"/>
      <c r="D44" s="497"/>
      <c r="E44" s="497"/>
      <c r="F44" s="497"/>
      <c r="G44" s="497"/>
      <c r="H44" s="497"/>
      <c r="I44" s="497"/>
    </row>
    <row r="45" spans="1:9" s="263" customFormat="1" ht="15.75">
      <c r="A45" s="262" t="s">
        <v>266</v>
      </c>
      <c r="B45" s="262">
        <v>12</v>
      </c>
      <c r="C45" s="262">
        <v>12</v>
      </c>
      <c r="D45" s="261">
        <v>241489623.53</v>
      </c>
      <c r="E45" s="261">
        <v>174052970.8</v>
      </c>
      <c r="F45" s="261">
        <f>G45+H45+I45</f>
        <v>79861179.93</v>
      </c>
      <c r="G45" s="320">
        <v>77713927.22</v>
      </c>
      <c r="H45" s="320">
        <v>1595640.09</v>
      </c>
      <c r="I45" s="320">
        <v>551612.62</v>
      </c>
    </row>
    <row r="46" spans="1:9" s="263" customFormat="1" ht="15.75">
      <c r="A46" s="262" t="s">
        <v>276</v>
      </c>
      <c r="B46" s="262">
        <v>22</v>
      </c>
      <c r="C46" s="262">
        <v>22</v>
      </c>
      <c r="D46" s="261">
        <v>40192248.629999995</v>
      </c>
      <c r="E46" s="261">
        <v>39336021.47</v>
      </c>
      <c r="F46" s="261">
        <v>28785192.23</v>
      </c>
      <c r="G46" s="261">
        <v>28785192.23</v>
      </c>
      <c r="H46" s="264">
        <v>0</v>
      </c>
      <c r="I46" s="264">
        <v>0</v>
      </c>
    </row>
    <row r="47" spans="1:9" s="263" customFormat="1" ht="12.75">
      <c r="A47" s="262" t="s">
        <v>278</v>
      </c>
      <c r="B47" s="262">
        <v>0</v>
      </c>
      <c r="C47" s="262">
        <v>0</v>
      </c>
      <c r="D47" s="265">
        <v>0</v>
      </c>
      <c r="E47" s="265">
        <v>0</v>
      </c>
      <c r="F47" s="264">
        <f>SUM(G47:I47)</f>
        <v>0</v>
      </c>
      <c r="G47" s="264">
        <v>0</v>
      </c>
      <c r="H47" s="264">
        <v>0</v>
      </c>
      <c r="I47" s="264">
        <v>0</v>
      </c>
    </row>
    <row r="48" spans="1:9" ht="12.75">
      <c r="A48" s="27" t="s">
        <v>314</v>
      </c>
      <c r="B48" s="490" t="s">
        <v>426</v>
      </c>
      <c r="C48" s="491"/>
      <c r="D48" s="491"/>
      <c r="E48" s="491"/>
      <c r="F48" s="491"/>
      <c r="G48" s="491"/>
      <c r="H48" s="491"/>
      <c r="I48" s="492"/>
    </row>
    <row r="50" spans="1:2" ht="12.75">
      <c r="A50" s="454" t="s">
        <v>309</v>
      </c>
      <c r="B50" s="454"/>
    </row>
    <row r="51" spans="1:2" ht="12.75">
      <c r="A51" s="495" t="s">
        <v>310</v>
      </c>
      <c r="B51" s="454"/>
    </row>
  </sheetData>
  <sheetProtection/>
  <mergeCells count="41">
    <mergeCell ref="A50:B50"/>
    <mergeCell ref="A51:B51"/>
    <mergeCell ref="D37:D38"/>
    <mergeCell ref="E37:E38"/>
    <mergeCell ref="A40:I40"/>
    <mergeCell ref="A44:I44"/>
    <mergeCell ref="A35:A38"/>
    <mergeCell ref="C37:C38"/>
    <mergeCell ref="D35:E36"/>
    <mergeCell ref="B35:C36"/>
    <mergeCell ref="F35:I35"/>
    <mergeCell ref="F36:F38"/>
    <mergeCell ref="G36:I36"/>
    <mergeCell ref="B37:B38"/>
    <mergeCell ref="B48:I48"/>
    <mergeCell ref="A30:I30"/>
    <mergeCell ref="A31:I31"/>
    <mergeCell ref="A15:I15"/>
    <mergeCell ref="C18:D18"/>
    <mergeCell ref="A33:I33"/>
    <mergeCell ref="C19:C20"/>
    <mergeCell ref="D19:D20"/>
    <mergeCell ref="A18:A20"/>
    <mergeCell ref="B18:B20"/>
    <mergeCell ref="F19:F20"/>
    <mergeCell ref="A1:I1"/>
    <mergeCell ref="B5:I5"/>
    <mergeCell ref="B7:I7"/>
    <mergeCell ref="A9:I9"/>
    <mergeCell ref="A10:I10"/>
    <mergeCell ref="B3:I3"/>
    <mergeCell ref="A12:I12"/>
    <mergeCell ref="G18:G20"/>
    <mergeCell ref="E19:E20"/>
    <mergeCell ref="E18:F18"/>
    <mergeCell ref="A32:I32"/>
    <mergeCell ref="B25:G25"/>
    <mergeCell ref="A26:G26"/>
    <mergeCell ref="A28:I28"/>
    <mergeCell ref="A16:I16"/>
    <mergeCell ref="A14:I14"/>
  </mergeCells>
  <printOptions/>
  <pageMargins left="0.75" right="0.75" top="1" bottom="1" header="0.5" footer="0.5"/>
  <pageSetup fitToHeight="2" horizontalDpi="600" verticalDpi="600" orientation="landscape" paperSize="9" scale="63" r:id="rId1"/>
  <rowBreaks count="1" manualBreakCount="1">
    <brk id="25"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F55"/>
  <sheetViews>
    <sheetView view="pageBreakPreview" zoomScaleSheetLayoutView="100" zoomScalePageLayoutView="0" workbookViewId="0" topLeftCell="A1">
      <selection activeCell="D42" sqref="D42"/>
    </sheetView>
  </sheetViews>
  <sheetFormatPr defaultColWidth="9.140625" defaultRowHeight="12.75"/>
  <cols>
    <col min="2" max="2" width="13.28125" style="0" customWidth="1"/>
    <col min="3" max="3" width="46.28125" style="0" customWidth="1"/>
    <col min="4" max="4" width="26.28125" style="0" customWidth="1"/>
    <col min="5" max="5" width="46.57421875" style="0" customWidth="1"/>
    <col min="6" max="6" width="21.28125" style="0" customWidth="1"/>
  </cols>
  <sheetData>
    <row r="1" spans="1:3" ht="12.75">
      <c r="A1" s="76" t="s">
        <v>165</v>
      </c>
      <c r="B1" s="76"/>
      <c r="C1" s="76"/>
    </row>
    <row r="2" spans="1:3" ht="12.75">
      <c r="A2" s="76"/>
      <c r="B2" s="76"/>
      <c r="C2" s="76"/>
    </row>
    <row r="3" spans="1:6" ht="43.5" customHeight="1">
      <c r="A3" s="498" t="s">
        <v>290</v>
      </c>
      <c r="B3" s="499"/>
      <c r="C3" s="500" t="s">
        <v>407</v>
      </c>
      <c r="D3" s="501"/>
      <c r="E3" s="501"/>
      <c r="F3" s="501"/>
    </row>
    <row r="4" spans="1:3" ht="12.75">
      <c r="A4" s="76"/>
      <c r="B4" s="76"/>
      <c r="C4" s="76"/>
    </row>
    <row r="5" spans="1:6" ht="14.25">
      <c r="A5" s="503" t="s">
        <v>306</v>
      </c>
      <c r="B5" s="503"/>
      <c r="C5" s="483" t="s">
        <v>408</v>
      </c>
      <c r="D5" s="484"/>
      <c r="E5" s="484"/>
      <c r="F5" s="484"/>
    </row>
    <row r="6" spans="1:6" ht="14.25">
      <c r="A6" s="6"/>
      <c r="B6" s="5"/>
      <c r="C6" s="5"/>
      <c r="D6" s="5"/>
      <c r="E6" s="5"/>
      <c r="F6" s="5"/>
    </row>
    <row r="7" spans="1:6" ht="14.25">
      <c r="A7" s="503" t="s">
        <v>307</v>
      </c>
      <c r="B7" s="503"/>
      <c r="C7" s="483" t="s">
        <v>427</v>
      </c>
      <c r="D7" s="484"/>
      <c r="E7" s="484"/>
      <c r="F7" s="484"/>
    </row>
    <row r="8" spans="1:6" ht="14.25">
      <c r="A8" s="4"/>
      <c r="B8" s="24"/>
      <c r="C8" s="24"/>
      <c r="D8" s="24"/>
      <c r="E8" s="135"/>
      <c r="F8" s="134"/>
    </row>
    <row r="9" spans="3:6" ht="54.75" customHeight="1" thickBot="1">
      <c r="C9" s="523" t="s">
        <v>67</v>
      </c>
      <c r="D9" s="523"/>
      <c r="E9" s="524" t="s">
        <v>68</v>
      </c>
      <c r="F9" s="525"/>
    </row>
    <row r="10" spans="1:6" ht="13.5" customHeight="1" thickBot="1">
      <c r="A10" s="510" t="s">
        <v>69</v>
      </c>
      <c r="B10" s="511"/>
      <c r="C10" s="516" t="s">
        <v>70</v>
      </c>
      <c r="D10" s="517"/>
      <c r="E10" s="518" t="s">
        <v>71</v>
      </c>
      <c r="F10" s="519"/>
    </row>
    <row r="11" spans="1:6" ht="26.25" thickBot="1">
      <c r="A11" s="512"/>
      <c r="B11" s="513"/>
      <c r="C11" s="77" t="s">
        <v>72</v>
      </c>
      <c r="D11" s="78">
        <v>1037</v>
      </c>
      <c r="E11" s="79"/>
      <c r="F11" s="80"/>
    </row>
    <row r="12" spans="1:6" ht="26.25" customHeight="1" thickBot="1">
      <c r="A12" s="512"/>
      <c r="B12" s="513"/>
      <c r="C12" s="81" t="s">
        <v>73</v>
      </c>
      <c r="D12" s="82">
        <v>288</v>
      </c>
      <c r="E12" s="83"/>
      <c r="F12" s="84"/>
    </row>
    <row r="13" spans="1:6" ht="33.75" customHeight="1" thickBot="1">
      <c r="A13" s="512"/>
      <c r="B13" s="513"/>
      <c r="C13" s="81" t="s">
        <v>74</v>
      </c>
      <c r="D13" s="78">
        <v>82</v>
      </c>
      <c r="E13" s="85" t="s">
        <v>75</v>
      </c>
      <c r="F13" s="78">
        <v>0</v>
      </c>
    </row>
    <row r="14" spans="1:6" ht="13.5" thickBot="1">
      <c r="A14" s="512"/>
      <c r="B14" s="513"/>
      <c r="C14" s="86" t="s">
        <v>76</v>
      </c>
      <c r="D14" s="87">
        <v>82</v>
      </c>
      <c r="E14" s="88" t="s">
        <v>77</v>
      </c>
      <c r="F14" s="89">
        <f>E16+F16</f>
        <v>0</v>
      </c>
    </row>
    <row r="15" spans="1:6" ht="12.75">
      <c r="A15" s="512"/>
      <c r="B15" s="513"/>
      <c r="C15" s="90" t="s">
        <v>78</v>
      </c>
      <c r="D15" s="91" t="s">
        <v>79</v>
      </c>
      <c r="E15" s="92" t="s">
        <v>78</v>
      </c>
      <c r="F15" s="93" t="s">
        <v>79</v>
      </c>
    </row>
    <row r="16" spans="1:6" ht="12.75" customHeight="1" thickBot="1">
      <c r="A16" s="512"/>
      <c r="B16" s="513"/>
      <c r="C16" s="94">
        <v>48</v>
      </c>
      <c r="D16" s="95">
        <v>34</v>
      </c>
      <c r="E16" s="96">
        <v>0</v>
      </c>
      <c r="F16" s="97">
        <v>0</v>
      </c>
    </row>
    <row r="17" spans="1:6" ht="18" customHeight="1" thickBot="1">
      <c r="A17" s="512"/>
      <c r="B17" s="513"/>
      <c r="C17" s="98" t="s">
        <v>80</v>
      </c>
      <c r="D17" s="99">
        <v>0</v>
      </c>
      <c r="E17" s="100" t="s">
        <v>80</v>
      </c>
      <c r="F17" s="78">
        <v>0</v>
      </c>
    </row>
    <row r="18" spans="1:6" ht="13.5" thickBot="1">
      <c r="A18" s="512"/>
      <c r="B18" s="513"/>
      <c r="C18" s="101" t="s">
        <v>81</v>
      </c>
      <c r="D18" s="78">
        <v>0</v>
      </c>
      <c r="E18" s="100" t="s">
        <v>81</v>
      </c>
      <c r="F18" s="78">
        <v>0</v>
      </c>
    </row>
    <row r="19" spans="1:6" ht="13.5" thickBot="1">
      <c r="A19" s="512"/>
      <c r="B19" s="513"/>
      <c r="C19" s="101" t="s">
        <v>82</v>
      </c>
      <c r="D19" s="78">
        <v>0</v>
      </c>
      <c r="E19" s="100" t="s">
        <v>82</v>
      </c>
      <c r="F19" s="78">
        <v>0</v>
      </c>
    </row>
    <row r="20" spans="1:6" ht="51.75" thickBot="1">
      <c r="A20" s="514"/>
      <c r="B20" s="515"/>
      <c r="C20" s="81" t="s">
        <v>83</v>
      </c>
      <c r="D20" s="102">
        <v>12</v>
      </c>
      <c r="E20" s="103" t="s">
        <v>84</v>
      </c>
      <c r="F20" s="82">
        <v>0</v>
      </c>
    </row>
    <row r="21" spans="1:6" ht="39" customHeight="1" thickBot="1">
      <c r="A21" s="504" t="s">
        <v>85</v>
      </c>
      <c r="B21" s="104"/>
      <c r="C21" s="77" t="s">
        <v>86</v>
      </c>
      <c r="D21" s="105">
        <v>875</v>
      </c>
      <c r="E21" s="79"/>
      <c r="F21" s="80"/>
    </row>
    <row r="22" spans="1:6" ht="64.5" thickBot="1">
      <c r="A22" s="505"/>
      <c r="B22" s="506" t="s">
        <v>87</v>
      </c>
      <c r="C22" s="77" t="s">
        <v>88</v>
      </c>
      <c r="D22" s="105">
        <v>442</v>
      </c>
      <c r="E22" s="83"/>
      <c r="F22" s="84"/>
    </row>
    <row r="23" spans="1:6" ht="80.25" customHeight="1" thickBot="1">
      <c r="A23" s="505"/>
      <c r="B23" s="507"/>
      <c r="C23" s="77" t="s">
        <v>89</v>
      </c>
      <c r="D23" s="78">
        <v>51</v>
      </c>
      <c r="E23" s="106" t="s">
        <v>90</v>
      </c>
      <c r="F23" s="99">
        <v>0</v>
      </c>
    </row>
    <row r="24" spans="1:6" ht="13.5" thickBot="1">
      <c r="A24" s="505"/>
      <c r="B24" s="507"/>
      <c r="C24" s="107" t="s">
        <v>91</v>
      </c>
      <c r="D24" s="108">
        <v>51</v>
      </c>
      <c r="E24" s="92" t="s">
        <v>92</v>
      </c>
      <c r="F24" s="109">
        <f>E26+F26</f>
        <v>0</v>
      </c>
    </row>
    <row r="25" spans="1:6" ht="12.75">
      <c r="A25" s="505"/>
      <c r="B25" s="507"/>
      <c r="C25" s="107" t="s">
        <v>93</v>
      </c>
      <c r="D25" s="110" t="s">
        <v>94</v>
      </c>
      <c r="E25" s="111" t="s">
        <v>93</v>
      </c>
      <c r="F25" s="93" t="s">
        <v>94</v>
      </c>
    </row>
    <row r="26" spans="1:6" ht="13.5" thickBot="1">
      <c r="A26" s="505"/>
      <c r="B26" s="507"/>
      <c r="C26" s="112">
        <v>2</v>
      </c>
      <c r="D26" s="113">
        <v>49</v>
      </c>
      <c r="E26" s="114">
        <v>0</v>
      </c>
      <c r="F26" s="97">
        <v>0</v>
      </c>
    </row>
    <row r="27" spans="1:6" ht="18.75" customHeight="1" thickBot="1">
      <c r="A27" s="505"/>
      <c r="B27" s="507"/>
      <c r="C27" s="106" t="s">
        <v>95</v>
      </c>
      <c r="D27" s="115">
        <v>0</v>
      </c>
      <c r="E27" s="100" t="s">
        <v>96</v>
      </c>
      <c r="F27" s="78">
        <v>0</v>
      </c>
    </row>
    <row r="28" spans="1:6" ht="13.5" thickBot="1">
      <c r="A28" s="505"/>
      <c r="B28" s="507"/>
      <c r="C28" s="116" t="s">
        <v>97</v>
      </c>
      <c r="D28" s="115">
        <v>0</v>
      </c>
      <c r="E28" s="100" t="s">
        <v>97</v>
      </c>
      <c r="F28" s="78">
        <v>0</v>
      </c>
    </row>
    <row r="29" spans="1:6" ht="13.5" thickBot="1">
      <c r="A29" s="505"/>
      <c r="B29" s="507"/>
      <c r="C29" s="116" t="s">
        <v>98</v>
      </c>
      <c r="D29" s="115">
        <v>0</v>
      </c>
      <c r="E29" s="100" t="s">
        <v>98</v>
      </c>
      <c r="F29" s="78">
        <v>0</v>
      </c>
    </row>
    <row r="30" spans="1:6" ht="64.5" thickBot="1">
      <c r="A30" s="505"/>
      <c r="B30" s="508"/>
      <c r="C30" s="77" t="s">
        <v>99</v>
      </c>
      <c r="D30" s="115">
        <v>0</v>
      </c>
      <c r="E30" s="85" t="s">
        <v>100</v>
      </c>
      <c r="F30" s="78">
        <v>0</v>
      </c>
    </row>
    <row r="31" spans="1:6" ht="83.25" customHeight="1" thickBot="1">
      <c r="A31" s="505"/>
      <c r="B31" s="520" t="s">
        <v>101</v>
      </c>
      <c r="C31" s="77" t="s">
        <v>102</v>
      </c>
      <c r="D31" s="78">
        <v>223</v>
      </c>
      <c r="E31" s="117"/>
      <c r="F31" s="118"/>
    </row>
    <row r="32" spans="1:6" ht="77.25" thickBot="1">
      <c r="A32" s="505"/>
      <c r="B32" s="521"/>
      <c r="C32" s="119" t="s">
        <v>103</v>
      </c>
      <c r="D32" s="120">
        <v>10</v>
      </c>
      <c r="E32" s="121" t="s">
        <v>104</v>
      </c>
      <c r="F32" s="78">
        <v>0</v>
      </c>
    </row>
    <row r="33" spans="1:6" ht="13.5" thickBot="1">
      <c r="A33" s="505"/>
      <c r="B33" s="521"/>
      <c r="C33" s="90" t="s">
        <v>105</v>
      </c>
      <c r="D33" s="108">
        <v>10</v>
      </c>
      <c r="E33" s="122" t="s">
        <v>106</v>
      </c>
      <c r="F33" s="89">
        <f>E35+F35</f>
        <v>0</v>
      </c>
    </row>
    <row r="34" spans="1:6" ht="12.75">
      <c r="A34" s="505"/>
      <c r="B34" s="521"/>
      <c r="C34" s="123" t="s">
        <v>107</v>
      </c>
      <c r="D34" s="124" t="s">
        <v>108</v>
      </c>
      <c r="E34" s="125" t="s">
        <v>109</v>
      </c>
      <c r="F34" s="109" t="s">
        <v>110</v>
      </c>
    </row>
    <row r="35" spans="1:6" ht="13.5" thickBot="1">
      <c r="A35" s="505"/>
      <c r="B35" s="521"/>
      <c r="C35" s="126">
        <v>3</v>
      </c>
      <c r="D35" s="127">
        <v>7</v>
      </c>
      <c r="E35" s="96">
        <v>0</v>
      </c>
      <c r="F35" s="97">
        <v>0</v>
      </c>
    </row>
    <row r="36" spans="1:6" ht="12" customHeight="1" thickBot="1">
      <c r="A36" s="505"/>
      <c r="B36" s="521"/>
      <c r="C36" s="116" t="s">
        <v>111</v>
      </c>
      <c r="D36" s="78">
        <v>0</v>
      </c>
      <c r="E36" s="100" t="s">
        <v>112</v>
      </c>
      <c r="F36" s="78">
        <v>0</v>
      </c>
    </row>
    <row r="37" spans="1:6" ht="13.5" thickBot="1">
      <c r="A37" s="505"/>
      <c r="B37" s="521"/>
      <c r="C37" s="116" t="s">
        <v>113</v>
      </c>
      <c r="D37" s="78">
        <v>0</v>
      </c>
      <c r="E37" s="100" t="s">
        <v>113</v>
      </c>
      <c r="F37" s="78">
        <v>0</v>
      </c>
    </row>
    <row r="38" spans="1:6" ht="13.5" thickBot="1">
      <c r="A38" s="505"/>
      <c r="B38" s="521"/>
      <c r="C38" s="116" t="s">
        <v>114</v>
      </c>
      <c r="D38" s="78">
        <v>0</v>
      </c>
      <c r="E38" s="100" t="s">
        <v>114</v>
      </c>
      <c r="F38" s="78">
        <v>0</v>
      </c>
    </row>
    <row r="39" spans="1:6" ht="64.5" thickBot="1">
      <c r="A39" s="505"/>
      <c r="B39" s="522"/>
      <c r="C39" s="128" t="s">
        <v>115</v>
      </c>
      <c r="D39" s="82">
        <v>0</v>
      </c>
      <c r="E39" s="128" t="s">
        <v>116</v>
      </c>
      <c r="F39" s="82">
        <v>0</v>
      </c>
    </row>
    <row r="40" spans="1:6" ht="69" customHeight="1" thickBot="1">
      <c r="A40" s="526" t="s">
        <v>117</v>
      </c>
      <c r="B40" s="129" t="s">
        <v>118</v>
      </c>
      <c r="C40" s="130" t="s">
        <v>119</v>
      </c>
      <c r="D40" s="78">
        <v>10</v>
      </c>
      <c r="E40" s="77" t="s">
        <v>120</v>
      </c>
      <c r="F40" s="78">
        <v>0</v>
      </c>
    </row>
    <row r="41" spans="1:6" ht="38.25" customHeight="1" thickBot="1">
      <c r="A41" s="527"/>
      <c r="B41" s="529" t="s">
        <v>121</v>
      </c>
      <c r="C41" s="131"/>
      <c r="D41" s="80"/>
      <c r="E41" s="132" t="s">
        <v>180</v>
      </c>
      <c r="F41" s="78">
        <v>0</v>
      </c>
    </row>
    <row r="42" spans="1:6" ht="54" customHeight="1" thickBot="1">
      <c r="A42" s="528"/>
      <c r="B42" s="530"/>
      <c r="C42" s="133"/>
      <c r="D42" s="84"/>
      <c r="E42" s="132" t="s">
        <v>181</v>
      </c>
      <c r="F42" s="78">
        <v>0</v>
      </c>
    </row>
    <row r="43" ht="12.75">
      <c r="A43" s="2"/>
    </row>
    <row r="44" ht="12.75">
      <c r="A44" s="2" t="s">
        <v>182</v>
      </c>
    </row>
    <row r="45" spans="1:6" ht="12.75">
      <c r="A45" s="509" t="s">
        <v>122</v>
      </c>
      <c r="B45" s="509"/>
      <c r="C45" s="509"/>
      <c r="D45" s="509"/>
      <c r="E45" s="509"/>
      <c r="F45" s="509"/>
    </row>
    <row r="46" ht="12.75">
      <c r="A46" t="s">
        <v>183</v>
      </c>
    </row>
    <row r="47" ht="12.75">
      <c r="A47" t="s">
        <v>184</v>
      </c>
    </row>
    <row r="48" ht="12.75">
      <c r="A48" t="s">
        <v>185</v>
      </c>
    </row>
    <row r="49" ht="12.75">
      <c r="A49" t="s">
        <v>186</v>
      </c>
    </row>
    <row r="50" ht="12.75">
      <c r="A50" t="s">
        <v>187</v>
      </c>
    </row>
    <row r="51" ht="12.75">
      <c r="A51" t="s">
        <v>188</v>
      </c>
    </row>
    <row r="52" ht="12.75">
      <c r="A52" t="s">
        <v>189</v>
      </c>
    </row>
    <row r="53" ht="9.75" customHeight="1">
      <c r="A53" s="2"/>
    </row>
    <row r="54" spans="1:2" ht="12.75">
      <c r="A54" s="454" t="s">
        <v>309</v>
      </c>
      <c r="B54" s="454"/>
    </row>
    <row r="55" spans="1:3" ht="12.75" customHeight="1">
      <c r="A55" s="502" t="s">
        <v>310</v>
      </c>
      <c r="B55" s="502"/>
      <c r="C55" s="502"/>
    </row>
  </sheetData>
  <sheetProtection/>
  <mergeCells count="19">
    <mergeCell ref="A45:F45"/>
    <mergeCell ref="A10:B20"/>
    <mergeCell ref="C10:D10"/>
    <mergeCell ref="E10:F10"/>
    <mergeCell ref="B31:B39"/>
    <mergeCell ref="C9:D9"/>
    <mergeCell ref="E9:F9"/>
    <mergeCell ref="A40:A42"/>
    <mergeCell ref="B41:B42"/>
    <mergeCell ref="A3:B3"/>
    <mergeCell ref="C3:F3"/>
    <mergeCell ref="A54:B54"/>
    <mergeCell ref="A55:C55"/>
    <mergeCell ref="C5:F5"/>
    <mergeCell ref="C7:F7"/>
    <mergeCell ref="A5:B5"/>
    <mergeCell ref="A7:B7"/>
    <mergeCell ref="A21:A39"/>
    <mergeCell ref="B22:B30"/>
  </mergeCells>
  <printOptions/>
  <pageMargins left="0.5905511811023623" right="0.5905511811023623" top="0.5905511811023623" bottom="0.5905511811023623" header="0.5118110236220472" footer="0.5118110236220472"/>
  <pageSetup fitToHeight="3" fitToWidth="1" horizontalDpi="300" verticalDpi="300" orientation="portrait" paperSize="9" scale="56" r:id="rId1"/>
  <rowBreaks count="1" manualBreakCount="1">
    <brk id="29"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P43"/>
  <sheetViews>
    <sheetView view="pageBreakPreview" zoomScale="85" zoomScaleSheetLayoutView="85" zoomScalePageLayoutView="0" workbookViewId="0" topLeftCell="A7">
      <selection activeCell="K24" sqref="K24"/>
    </sheetView>
  </sheetViews>
  <sheetFormatPr defaultColWidth="9.140625" defaultRowHeight="12.75"/>
  <cols>
    <col min="1" max="1" width="4.28125" style="137" customWidth="1"/>
    <col min="2" max="2" width="48.140625" style="137" customWidth="1"/>
    <col min="3" max="5" width="10.00390625" style="137" customWidth="1"/>
    <col min="6" max="8" width="11.7109375" style="137" customWidth="1"/>
    <col min="9" max="10" width="12.28125" style="137" bestFit="1" customWidth="1"/>
    <col min="11" max="11" width="12.140625" style="137" customWidth="1"/>
    <col min="12" max="16384" width="9.140625" style="137" customWidth="1"/>
  </cols>
  <sheetData>
    <row r="1" spans="1:14" ht="18.75" customHeight="1">
      <c r="A1" s="536" t="s">
        <v>156</v>
      </c>
      <c r="B1" s="536"/>
      <c r="C1" s="536"/>
      <c r="D1" s="536"/>
      <c r="E1" s="536"/>
      <c r="F1" s="536"/>
      <c r="G1" s="536"/>
      <c r="H1" s="536"/>
      <c r="I1" s="536"/>
      <c r="J1" s="536"/>
      <c r="K1" s="536"/>
      <c r="L1" s="136"/>
      <c r="M1" s="136"/>
      <c r="N1" s="136"/>
    </row>
    <row r="2" spans="1:14" ht="12.75">
      <c r="A2" s="146"/>
      <c r="B2" s="146"/>
      <c r="C2" s="146"/>
      <c r="D2" s="146"/>
      <c r="E2" s="146"/>
      <c r="F2" s="146"/>
      <c r="G2" s="146"/>
      <c r="H2" s="146"/>
      <c r="I2" s="146"/>
      <c r="J2" s="146"/>
      <c r="K2" s="146"/>
      <c r="L2" s="136"/>
      <c r="M2" s="136"/>
      <c r="N2" s="136"/>
    </row>
    <row r="3" spans="1:14" ht="57.75" customHeight="1">
      <c r="A3" s="544" t="s">
        <v>290</v>
      </c>
      <c r="B3" s="544"/>
      <c r="C3" s="542" t="s">
        <v>407</v>
      </c>
      <c r="D3" s="542"/>
      <c r="E3" s="542"/>
      <c r="F3" s="542"/>
      <c r="G3" s="542"/>
      <c r="H3" s="542"/>
      <c r="I3" s="542"/>
      <c r="J3" s="542"/>
      <c r="K3" s="542"/>
      <c r="L3" s="136"/>
      <c r="M3" s="136"/>
      <c r="N3" s="136"/>
    </row>
    <row r="4" spans="1:14" ht="14.25">
      <c r="A4" s="6"/>
      <c r="B4" s="6"/>
      <c r="C4" s="146"/>
      <c r="D4" s="146"/>
      <c r="E4" s="146"/>
      <c r="F4" s="146"/>
      <c r="G4" s="146"/>
      <c r="H4" s="146"/>
      <c r="I4" s="146"/>
      <c r="J4" s="146"/>
      <c r="K4" s="146"/>
      <c r="L4" s="136"/>
      <c r="M4" s="136"/>
      <c r="N4" s="136"/>
    </row>
    <row r="5" spans="1:14" ht="18.75" customHeight="1">
      <c r="A5" s="545" t="s">
        <v>306</v>
      </c>
      <c r="B5" s="545"/>
      <c r="C5" s="542" t="s">
        <v>408</v>
      </c>
      <c r="D5" s="542"/>
      <c r="E5" s="542"/>
      <c r="F5" s="542"/>
      <c r="G5" s="542"/>
      <c r="H5" s="542"/>
      <c r="I5" s="542"/>
      <c r="J5" s="542"/>
      <c r="K5" s="542"/>
      <c r="L5" s="136"/>
      <c r="M5" s="136"/>
      <c r="N5" s="136"/>
    </row>
    <row r="6" spans="1:14" ht="14.25">
      <c r="A6" s="6"/>
      <c r="B6" s="6"/>
      <c r="C6" s="146"/>
      <c r="D6" s="146"/>
      <c r="E6" s="146"/>
      <c r="F6" s="146"/>
      <c r="G6" s="146"/>
      <c r="H6" s="146"/>
      <c r="I6" s="146"/>
      <c r="J6" s="146"/>
      <c r="K6" s="146"/>
      <c r="L6" s="136"/>
      <c r="M6" s="136"/>
      <c r="N6" s="136"/>
    </row>
    <row r="7" spans="1:14" ht="18.75" customHeight="1">
      <c r="A7" s="545" t="s">
        <v>307</v>
      </c>
      <c r="B7" s="545"/>
      <c r="C7" s="542" t="s">
        <v>427</v>
      </c>
      <c r="D7" s="542"/>
      <c r="E7" s="542"/>
      <c r="F7" s="542"/>
      <c r="G7" s="542"/>
      <c r="H7" s="542"/>
      <c r="I7" s="542"/>
      <c r="J7" s="542"/>
      <c r="K7" s="542"/>
      <c r="L7" s="136"/>
      <c r="M7" s="136"/>
      <c r="N7" s="136"/>
    </row>
    <row r="8" spans="1:14" ht="12.75">
      <c r="A8" s="146"/>
      <c r="B8" s="146"/>
      <c r="C8" s="146"/>
      <c r="D8" s="146"/>
      <c r="E8" s="146"/>
      <c r="F8" s="146"/>
      <c r="G8" s="146"/>
      <c r="H8" s="146"/>
      <c r="I8" s="146"/>
      <c r="J8" s="146"/>
      <c r="K8" s="146"/>
      <c r="L8" s="136"/>
      <c r="M8" s="136"/>
      <c r="N8" s="136"/>
    </row>
    <row r="9" spans="1:13" ht="17.25" customHeight="1">
      <c r="A9" s="546" t="s">
        <v>55</v>
      </c>
      <c r="B9" s="546"/>
      <c r="C9" s="546"/>
      <c r="D9" s="546"/>
      <c r="E9" s="546"/>
      <c r="F9" s="546"/>
      <c r="G9" s="546"/>
      <c r="H9" s="546"/>
      <c r="I9" s="546"/>
      <c r="J9" s="546"/>
      <c r="K9" s="546"/>
      <c r="L9" s="148"/>
      <c r="M9" s="148"/>
    </row>
    <row r="10" spans="1:11" ht="15" customHeight="1">
      <c r="A10" s="543" t="s">
        <v>60</v>
      </c>
      <c r="B10" s="543"/>
      <c r="C10" s="543"/>
      <c r="D10" s="543"/>
      <c r="E10" s="543"/>
      <c r="F10" s="543"/>
      <c r="G10" s="543"/>
      <c r="H10" s="543"/>
      <c r="I10" s="543"/>
      <c r="J10" s="543"/>
      <c r="K10" s="543"/>
    </row>
    <row r="11" spans="1:11" ht="52.5" customHeight="1">
      <c r="A11" s="541" t="s">
        <v>384</v>
      </c>
      <c r="B11" s="541"/>
      <c r="C11" s="541"/>
      <c r="D11" s="541"/>
      <c r="E11" s="541"/>
      <c r="F11" s="541"/>
      <c r="G11" s="541"/>
      <c r="H11" s="541"/>
      <c r="I11" s="541"/>
      <c r="J11" s="541"/>
      <c r="K11" s="541"/>
    </row>
    <row r="12" spans="1:11" ht="46.5" customHeight="1">
      <c r="A12" s="541" t="s">
        <v>36</v>
      </c>
      <c r="B12" s="541"/>
      <c r="C12" s="541"/>
      <c r="D12" s="541"/>
      <c r="E12" s="541"/>
      <c r="F12" s="541"/>
      <c r="G12" s="541"/>
      <c r="H12" s="541"/>
      <c r="I12" s="541"/>
      <c r="J12" s="541"/>
      <c r="K12" s="541"/>
    </row>
    <row r="13" ht="15" customHeight="1"/>
    <row r="14" spans="1:11" s="136" customFormat="1" ht="51" customHeight="1">
      <c r="A14" s="540" t="s">
        <v>321</v>
      </c>
      <c r="B14" s="540" t="s">
        <v>167</v>
      </c>
      <c r="C14" s="540" t="s">
        <v>53</v>
      </c>
      <c r="D14" s="540"/>
      <c r="E14" s="540"/>
      <c r="F14" s="540" t="s">
        <v>168</v>
      </c>
      <c r="G14" s="540"/>
      <c r="H14" s="540"/>
      <c r="I14" s="540" t="s">
        <v>144</v>
      </c>
      <c r="J14" s="540"/>
      <c r="K14" s="540"/>
    </row>
    <row r="15" spans="1:11" s="136" customFormat="1" ht="18" customHeight="1">
      <c r="A15" s="540"/>
      <c r="B15" s="540"/>
      <c r="C15" s="138" t="s">
        <v>312</v>
      </c>
      <c r="D15" s="138" t="s">
        <v>313</v>
      </c>
      <c r="E15" s="138" t="s">
        <v>308</v>
      </c>
      <c r="F15" s="138" t="s">
        <v>312</v>
      </c>
      <c r="G15" s="138" t="s">
        <v>313</v>
      </c>
      <c r="H15" s="138" t="s">
        <v>308</v>
      </c>
      <c r="I15" s="138" t="s">
        <v>312</v>
      </c>
      <c r="J15" s="138" t="s">
        <v>313</v>
      </c>
      <c r="K15" s="138" t="s">
        <v>308</v>
      </c>
    </row>
    <row r="16" spans="1:11" s="136" customFormat="1" ht="15.75" customHeight="1">
      <c r="A16" s="139">
        <v>1</v>
      </c>
      <c r="B16" s="139">
        <v>2</v>
      </c>
      <c r="C16" s="139">
        <v>3</v>
      </c>
      <c r="D16" s="139">
        <v>4</v>
      </c>
      <c r="E16" s="139" t="s">
        <v>57</v>
      </c>
      <c r="F16" s="139">
        <v>6</v>
      </c>
      <c r="G16" s="139">
        <v>7</v>
      </c>
      <c r="H16" s="139" t="s">
        <v>58</v>
      </c>
      <c r="I16" s="139" t="s">
        <v>59</v>
      </c>
      <c r="J16" s="139" t="s">
        <v>169</v>
      </c>
      <c r="K16" s="139" t="s">
        <v>170</v>
      </c>
    </row>
    <row r="17" spans="1:11" ht="20.25" customHeight="1">
      <c r="A17" s="533" t="s">
        <v>334</v>
      </c>
      <c r="B17" s="533"/>
      <c r="C17" s="533"/>
      <c r="D17" s="533"/>
      <c r="E17" s="533"/>
      <c r="F17" s="533"/>
      <c r="G17" s="533"/>
      <c r="H17" s="533"/>
      <c r="I17" s="533"/>
      <c r="J17" s="533"/>
      <c r="K17" s="533"/>
    </row>
    <row r="18" spans="1:11" ht="20.25" customHeight="1">
      <c r="A18" s="532" t="s">
        <v>246</v>
      </c>
      <c r="B18" s="532"/>
      <c r="C18" s="532"/>
      <c r="D18" s="532"/>
      <c r="E18" s="532"/>
      <c r="F18" s="532"/>
      <c r="G18" s="532"/>
      <c r="H18" s="532"/>
      <c r="I18" s="532"/>
      <c r="J18" s="532"/>
      <c r="K18" s="532"/>
    </row>
    <row r="19" spans="1:11" ht="20.25" customHeight="1">
      <c r="A19" s="140">
        <v>1</v>
      </c>
      <c r="B19" s="141" t="s">
        <v>174</v>
      </c>
      <c r="C19" s="142"/>
      <c r="D19" s="142"/>
      <c r="E19" s="142"/>
      <c r="F19" s="142"/>
      <c r="G19" s="142"/>
      <c r="H19" s="142"/>
      <c r="I19" s="143"/>
      <c r="J19" s="143"/>
      <c r="K19" s="143"/>
    </row>
    <row r="20" spans="1:11" ht="20.25" customHeight="1">
      <c r="A20" s="533" t="s">
        <v>347</v>
      </c>
      <c r="B20" s="533"/>
      <c r="C20" s="533"/>
      <c r="D20" s="533"/>
      <c r="E20" s="533"/>
      <c r="F20" s="533"/>
      <c r="G20" s="533"/>
      <c r="H20" s="533"/>
      <c r="I20" s="533"/>
      <c r="J20" s="533"/>
      <c r="K20" s="533"/>
    </row>
    <row r="21" spans="1:11" ht="20.25" customHeight="1">
      <c r="A21" s="532" t="s">
        <v>266</v>
      </c>
      <c r="B21" s="532"/>
      <c r="C21" s="532"/>
      <c r="D21" s="532"/>
      <c r="E21" s="532"/>
      <c r="F21" s="532"/>
      <c r="G21" s="532"/>
      <c r="H21" s="532"/>
      <c r="I21" s="532"/>
      <c r="J21" s="532"/>
      <c r="K21" s="532"/>
    </row>
    <row r="22" spans="1:16" ht="20.25" customHeight="1">
      <c r="A22" s="140">
        <v>1</v>
      </c>
      <c r="B22" s="141" t="s">
        <v>171</v>
      </c>
      <c r="C22" s="266">
        <v>4837</v>
      </c>
      <c r="D22" s="266">
        <v>3519</v>
      </c>
      <c r="E22" s="268">
        <f aca="true" t="shared" si="0" ref="E22:E27">SUM(C22:D22)</f>
        <v>8356</v>
      </c>
      <c r="F22" s="266">
        <v>2669</v>
      </c>
      <c r="G22" s="266">
        <v>2188</v>
      </c>
      <c r="H22" s="268">
        <f aca="true" t="shared" si="1" ref="H22:H27">SUM(F22:G22)</f>
        <v>4857</v>
      </c>
      <c r="I22" s="267">
        <f aca="true" t="shared" si="2" ref="I22:I27">F22/C22</f>
        <v>0.5517882985321481</v>
      </c>
      <c r="J22" s="267">
        <f aca="true" t="shared" si="3" ref="J22:K27">G22/D22</f>
        <v>0.6217675475987496</v>
      </c>
      <c r="K22" s="267">
        <f t="shared" si="3"/>
        <v>0.5812589755864049</v>
      </c>
      <c r="N22" s="308"/>
      <c r="O22" s="308"/>
      <c r="P22" s="308"/>
    </row>
    <row r="23" spans="1:11" ht="32.25" customHeight="1">
      <c r="A23" s="140">
        <v>2</v>
      </c>
      <c r="B23" s="141" t="s">
        <v>172</v>
      </c>
      <c r="C23" s="266">
        <v>300</v>
      </c>
      <c r="D23" s="266">
        <v>278</v>
      </c>
      <c r="E23" s="268">
        <f t="shared" si="0"/>
        <v>578</v>
      </c>
      <c r="F23" s="266">
        <v>211</v>
      </c>
      <c r="G23" s="266">
        <v>209</v>
      </c>
      <c r="H23" s="268">
        <f t="shared" si="1"/>
        <v>420</v>
      </c>
      <c r="I23" s="267">
        <f t="shared" si="2"/>
        <v>0.7033333333333334</v>
      </c>
      <c r="J23" s="267">
        <f t="shared" si="3"/>
        <v>0.7517985611510791</v>
      </c>
      <c r="K23" s="267">
        <f t="shared" si="3"/>
        <v>0.726643598615917</v>
      </c>
    </row>
    <row r="24" spans="1:11" ht="20.25" customHeight="1">
      <c r="A24" s="140">
        <v>3</v>
      </c>
      <c r="B24" s="141" t="s">
        <v>0</v>
      </c>
      <c r="C24" s="266">
        <v>2526</v>
      </c>
      <c r="D24" s="266">
        <v>1681</v>
      </c>
      <c r="E24" s="268">
        <f t="shared" si="0"/>
        <v>4207</v>
      </c>
      <c r="F24" s="266">
        <v>1530</v>
      </c>
      <c r="G24" s="266">
        <v>1139</v>
      </c>
      <c r="H24" s="268">
        <f t="shared" si="1"/>
        <v>2669</v>
      </c>
      <c r="I24" s="267">
        <f t="shared" si="2"/>
        <v>0.6057007125890737</v>
      </c>
      <c r="J24" s="267">
        <f t="shared" si="3"/>
        <v>0.6775728732897085</v>
      </c>
      <c r="K24" s="267">
        <f t="shared" si="3"/>
        <v>0.6344188257665795</v>
      </c>
    </row>
    <row r="25" spans="1:11" ht="20.25" customHeight="1">
      <c r="A25" s="140">
        <v>4</v>
      </c>
      <c r="B25" s="141" t="s">
        <v>173</v>
      </c>
      <c r="C25" s="266">
        <v>1077</v>
      </c>
      <c r="D25" s="266">
        <v>1099</v>
      </c>
      <c r="E25" s="268">
        <f t="shared" si="0"/>
        <v>2176</v>
      </c>
      <c r="F25" s="266">
        <v>410</v>
      </c>
      <c r="G25" s="266">
        <v>508</v>
      </c>
      <c r="H25" s="268">
        <f t="shared" si="1"/>
        <v>918</v>
      </c>
      <c r="I25" s="267">
        <f t="shared" si="2"/>
        <v>0.3806870937790158</v>
      </c>
      <c r="J25" s="267">
        <f t="shared" si="3"/>
        <v>0.462238398544131</v>
      </c>
      <c r="K25" s="267">
        <f t="shared" si="3"/>
        <v>0.421875</v>
      </c>
    </row>
    <row r="26" spans="1:11" ht="20.25" customHeight="1">
      <c r="A26" s="140">
        <v>5</v>
      </c>
      <c r="B26" s="141" t="s">
        <v>332</v>
      </c>
      <c r="C26" s="266">
        <v>625</v>
      </c>
      <c r="D26" s="266">
        <v>317</v>
      </c>
      <c r="E26" s="268">
        <f t="shared" si="0"/>
        <v>942</v>
      </c>
      <c r="F26" s="266">
        <v>258</v>
      </c>
      <c r="G26" s="266">
        <v>148</v>
      </c>
      <c r="H26" s="268">
        <f t="shared" si="1"/>
        <v>406</v>
      </c>
      <c r="I26" s="267">
        <f t="shared" si="2"/>
        <v>0.4128</v>
      </c>
      <c r="J26" s="267">
        <f t="shared" si="3"/>
        <v>0.4668769716088328</v>
      </c>
      <c r="K26" s="267">
        <f t="shared" si="3"/>
        <v>0.4309978768577495</v>
      </c>
    </row>
    <row r="27" spans="1:11" ht="20.25" customHeight="1">
      <c r="A27" s="140">
        <v>6</v>
      </c>
      <c r="B27" s="141" t="s">
        <v>324</v>
      </c>
      <c r="C27" s="266">
        <v>2015</v>
      </c>
      <c r="D27" s="266">
        <v>1257</v>
      </c>
      <c r="E27" s="268">
        <f t="shared" si="0"/>
        <v>3272</v>
      </c>
      <c r="F27" s="266">
        <v>997</v>
      </c>
      <c r="G27" s="266">
        <v>718</v>
      </c>
      <c r="H27" s="268">
        <f t="shared" si="1"/>
        <v>1715</v>
      </c>
      <c r="I27" s="267">
        <f t="shared" si="2"/>
        <v>0.4947890818858561</v>
      </c>
      <c r="J27" s="267">
        <f t="shared" si="3"/>
        <v>0.5712012728719172</v>
      </c>
      <c r="K27" s="267">
        <f t="shared" si="3"/>
        <v>0.5241442542787286</v>
      </c>
    </row>
    <row r="28" spans="1:11" ht="20.25" customHeight="1">
      <c r="A28" s="533" t="s">
        <v>349</v>
      </c>
      <c r="B28" s="533"/>
      <c r="C28" s="533"/>
      <c r="D28" s="533"/>
      <c r="E28" s="533"/>
      <c r="F28" s="533"/>
      <c r="G28" s="533"/>
      <c r="H28" s="533"/>
      <c r="I28" s="533"/>
      <c r="J28" s="533"/>
      <c r="K28" s="533"/>
    </row>
    <row r="29" spans="1:11" ht="20.25" customHeight="1">
      <c r="A29" s="532" t="s">
        <v>280</v>
      </c>
      <c r="B29" s="532"/>
      <c r="C29" s="532"/>
      <c r="D29" s="532"/>
      <c r="E29" s="532"/>
      <c r="F29" s="532"/>
      <c r="G29" s="532"/>
      <c r="H29" s="532"/>
      <c r="I29" s="532"/>
      <c r="J29" s="532"/>
      <c r="K29" s="532"/>
    </row>
    <row r="30" spans="1:11" ht="20.25" customHeight="1">
      <c r="A30" s="140">
        <v>1</v>
      </c>
      <c r="B30" s="141" t="s">
        <v>174</v>
      </c>
      <c r="C30" s="142"/>
      <c r="D30" s="142"/>
      <c r="E30" s="142"/>
      <c r="F30" s="142"/>
      <c r="G30" s="142"/>
      <c r="H30" s="142"/>
      <c r="I30" s="143"/>
      <c r="J30" s="143"/>
      <c r="K30" s="143"/>
    </row>
    <row r="31" spans="1:11" ht="20.25" customHeight="1">
      <c r="A31" s="532" t="s">
        <v>161</v>
      </c>
      <c r="B31" s="532"/>
      <c r="C31" s="532"/>
      <c r="D31" s="532"/>
      <c r="E31" s="532"/>
      <c r="F31" s="532"/>
      <c r="G31" s="532"/>
      <c r="H31" s="532"/>
      <c r="I31" s="532"/>
      <c r="J31" s="532"/>
      <c r="K31" s="532"/>
    </row>
    <row r="32" spans="1:11" ht="20.25" customHeight="1">
      <c r="A32" s="140">
        <v>1</v>
      </c>
      <c r="B32" s="141" t="s">
        <v>174</v>
      </c>
      <c r="C32" s="142"/>
      <c r="D32" s="142"/>
      <c r="E32" s="142"/>
      <c r="F32" s="142"/>
      <c r="G32" s="142"/>
      <c r="H32" s="142"/>
      <c r="I32" s="143"/>
      <c r="J32" s="143"/>
      <c r="K32" s="143"/>
    </row>
    <row r="33" spans="1:11" ht="20.25" customHeight="1">
      <c r="A33" s="533" t="s">
        <v>351</v>
      </c>
      <c r="B33" s="533"/>
      <c r="C33" s="533"/>
      <c r="D33" s="533"/>
      <c r="E33" s="533"/>
      <c r="F33" s="533"/>
      <c r="G33" s="533"/>
      <c r="H33" s="533"/>
      <c r="I33" s="533"/>
      <c r="J33" s="533"/>
      <c r="K33" s="533"/>
    </row>
    <row r="34" spans="1:11" ht="20.25" customHeight="1">
      <c r="A34" s="532" t="s">
        <v>283</v>
      </c>
      <c r="B34" s="532"/>
      <c r="C34" s="532"/>
      <c r="D34" s="532"/>
      <c r="E34" s="532"/>
      <c r="F34" s="532"/>
      <c r="G34" s="532"/>
      <c r="H34" s="532"/>
      <c r="I34" s="532"/>
      <c r="J34" s="532"/>
      <c r="K34" s="532"/>
    </row>
    <row r="35" spans="1:11" ht="20.25" customHeight="1">
      <c r="A35" s="140">
        <v>1</v>
      </c>
      <c r="B35" s="141" t="s">
        <v>127</v>
      </c>
      <c r="C35" s="142"/>
      <c r="D35" s="142"/>
      <c r="E35" s="142"/>
      <c r="F35" s="142"/>
      <c r="G35" s="142"/>
      <c r="H35" s="142"/>
      <c r="I35" s="143"/>
      <c r="J35" s="143"/>
      <c r="K35" s="143"/>
    </row>
    <row r="36" spans="1:11" s="145" customFormat="1" ht="24" customHeight="1">
      <c r="A36" s="539" t="s">
        <v>61</v>
      </c>
      <c r="B36" s="539"/>
      <c r="C36" s="539"/>
      <c r="D36" s="539"/>
      <c r="E36" s="539"/>
      <c r="F36" s="539"/>
      <c r="G36" s="539"/>
      <c r="H36" s="539"/>
      <c r="I36" s="539"/>
      <c r="J36" s="539"/>
      <c r="K36" s="539"/>
    </row>
    <row r="37" spans="1:11" ht="20.25" customHeight="1">
      <c r="A37" s="140" t="s">
        <v>300</v>
      </c>
      <c r="B37" s="140" t="s">
        <v>212</v>
      </c>
      <c r="C37" s="142"/>
      <c r="D37" s="142"/>
      <c r="E37" s="142"/>
      <c r="F37" s="142"/>
      <c r="G37" s="142"/>
      <c r="H37" s="142"/>
      <c r="I37" s="142"/>
      <c r="J37" s="143"/>
      <c r="K37" s="143"/>
    </row>
    <row r="38" spans="1:11" ht="20.25" customHeight="1">
      <c r="A38" s="537" t="s">
        <v>314</v>
      </c>
      <c r="B38" s="537"/>
      <c r="C38" s="538"/>
      <c r="D38" s="538"/>
      <c r="E38" s="538"/>
      <c r="F38" s="538"/>
      <c r="G38" s="538"/>
      <c r="H38" s="538"/>
      <c r="I38" s="538"/>
      <c r="J38" s="538"/>
      <c r="K38" s="538"/>
    </row>
    <row r="39" spans="1:11" ht="12.75">
      <c r="A39" s="531" t="s">
        <v>128</v>
      </c>
      <c r="B39" s="531"/>
      <c r="C39" s="531"/>
      <c r="D39" s="531"/>
      <c r="E39" s="531"/>
      <c r="F39" s="531"/>
      <c r="G39" s="531"/>
      <c r="H39" s="531"/>
      <c r="I39" s="531"/>
      <c r="J39" s="531"/>
      <c r="K39" s="531"/>
    </row>
    <row r="40" spans="1:11" ht="27" customHeight="1">
      <c r="A40" s="536" t="s">
        <v>129</v>
      </c>
      <c r="B40" s="536"/>
      <c r="C40" s="536"/>
      <c r="D40" s="536"/>
      <c r="E40" s="536"/>
      <c r="F40" s="536"/>
      <c r="G40" s="536"/>
      <c r="H40" s="536"/>
      <c r="I40" s="536"/>
      <c r="J40" s="536"/>
      <c r="K40" s="536"/>
    </row>
    <row r="42" spans="1:3" ht="12.75">
      <c r="A42" s="534" t="s">
        <v>309</v>
      </c>
      <c r="B42" s="534"/>
      <c r="C42"/>
    </row>
    <row r="43" spans="1:3" ht="12.75" customHeight="1">
      <c r="A43" s="535" t="s">
        <v>310</v>
      </c>
      <c r="B43" s="535"/>
      <c r="C43" s="147"/>
    </row>
  </sheetData>
  <sheetProtection/>
  <mergeCells count="32">
    <mergeCell ref="A1:K1"/>
    <mergeCell ref="A10:K10"/>
    <mergeCell ref="A11:K11"/>
    <mergeCell ref="A3:B3"/>
    <mergeCell ref="A5:B5"/>
    <mergeCell ref="A7:B7"/>
    <mergeCell ref="C3:K3"/>
    <mergeCell ref="A9:K9"/>
    <mergeCell ref="A12:K12"/>
    <mergeCell ref="A17:K17"/>
    <mergeCell ref="A18:K18"/>
    <mergeCell ref="A29:K29"/>
    <mergeCell ref="C5:K5"/>
    <mergeCell ref="C7:K7"/>
    <mergeCell ref="A14:A15"/>
    <mergeCell ref="A20:K20"/>
    <mergeCell ref="A36:K36"/>
    <mergeCell ref="F14:H14"/>
    <mergeCell ref="I14:K14"/>
    <mergeCell ref="B14:B15"/>
    <mergeCell ref="C14:E14"/>
    <mergeCell ref="A33:K33"/>
    <mergeCell ref="A39:K39"/>
    <mergeCell ref="A21:K21"/>
    <mergeCell ref="A28:K28"/>
    <mergeCell ref="A42:B42"/>
    <mergeCell ref="A43:B43"/>
    <mergeCell ref="A40:K40"/>
    <mergeCell ref="A38:B38"/>
    <mergeCell ref="C38:K38"/>
    <mergeCell ref="A34:K34"/>
    <mergeCell ref="A31:K31"/>
  </mergeCells>
  <printOptions horizontalCentered="1" verticalCentered="1"/>
  <pageMargins left="0.5905511811023623" right="0.5905511811023623" top="0.5905511811023623" bottom="0.5905511811023623" header="0.31496062992125984" footer="0.31496062992125984"/>
  <pageSetup fitToHeight="1"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Sprawozdanie z Działania_załączniki</dc:title>
  <dc:subject/>
  <dc:creator>Dorota Domańska</dc:creator>
  <cp:keywords/>
  <dc:description/>
  <cp:lastModifiedBy>Joanna Piątek</cp:lastModifiedBy>
  <cp:lastPrinted>2014-07-09T09:00:49Z</cp:lastPrinted>
  <dcterms:created xsi:type="dcterms:W3CDTF">2007-08-17T08:55:34Z</dcterms:created>
  <dcterms:modified xsi:type="dcterms:W3CDTF">2014-07-15T06:45:04Z</dcterms:modified>
  <cp:category/>
  <cp:version/>
  <cp:contentType/>
  <cp:contentStatus/>
</cp:coreProperties>
</file>